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" yWindow="390" windowWidth="22395" windowHeight="9390" tabRatio="813" firstSheet="7" activeTab="16"/>
  </bookViews>
  <sheets>
    <sheet name="Financial_Results" sheetId="56" r:id="rId1"/>
    <sheet name="Neg Contribution" sheetId="67" r:id="rId2"/>
    <sheet name="Appendix " sheetId="62" r:id="rId3"/>
    <sheet name="COMP Services" sheetId="17" r:id="rId4"/>
    <sheet name="Prority Mail Express" sheetId="13" r:id="rId5"/>
    <sheet name="Priority Mail " sheetId="14" r:id="rId6"/>
    <sheet name="Parcel Select_Return" sheetId="15" r:id="rId7"/>
    <sheet name="First-Class Package Service" sheetId="72" r:id="rId8"/>
    <sheet name="Standard Post Mail (NEW)" sheetId="74" r:id="rId9"/>
    <sheet name="Intern_InternNSA" sheetId="16" r:id="rId10"/>
    <sheet name="FCM" sheetId="8" r:id="rId11"/>
    <sheet name="Standard" sheetId="9" r:id="rId12"/>
    <sheet name="Periodicals" sheetId="10" r:id="rId13"/>
    <sheet name="Package Services" sheetId="11" r:id="rId14"/>
    <sheet name="USPS &amp; Free" sheetId="65" r:id="rId15"/>
    <sheet name="MD Services" sheetId="12" r:id="rId16"/>
    <sheet name="Fees" sheetId="75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2">'Appendix '!$A$1:$I$91</definedName>
    <definedName name="_xlnm.Print_Area" localSheetId="0">Financial_Results!$A$1:$E$24</definedName>
    <definedName name="_xlnm.Print_Area" localSheetId="11">Standard!$A$1:$N$129</definedName>
    <definedName name="_xlnm.Print_Titles" localSheetId="11">Standard!$1:$9</definedName>
  </definedNames>
  <calcPr calcId="145621"/>
</workbook>
</file>

<file path=xl/calcChain.xml><?xml version="1.0" encoding="utf-8"?>
<calcChain xmlns="http://schemas.openxmlformats.org/spreadsheetml/2006/main">
  <c r="D74" i="62" l="1"/>
  <c r="H83" i="12"/>
  <c r="H82" i="12"/>
  <c r="H37" i="11"/>
  <c r="H33" i="8"/>
  <c r="H32" i="8"/>
  <c r="H19" i="11" l="1"/>
  <c r="A1" i="75" l="1"/>
  <c r="A1" i="65"/>
  <c r="A1" i="11"/>
  <c r="A1" i="10"/>
  <c r="A1" i="9"/>
  <c r="A1" i="8"/>
  <c r="A1" i="17"/>
  <c r="A1" i="16"/>
  <c r="A1" i="74"/>
  <c r="A1" i="72"/>
  <c r="A1" i="15"/>
  <c r="A1" i="14"/>
  <c r="A1" i="13"/>
  <c r="A1" i="12"/>
  <c r="B22" i="56" l="1"/>
  <c r="C81" i="62" l="1"/>
  <c r="C82" i="62"/>
  <c r="C80" i="62"/>
  <c r="E16" i="11"/>
  <c r="E15" i="11"/>
  <c r="E14" i="11"/>
  <c r="E13" i="11"/>
  <c r="E32" i="8"/>
  <c r="E33" i="8"/>
  <c r="E22" i="8"/>
  <c r="E26" i="8"/>
  <c r="E25" i="8"/>
  <c r="E21" i="8"/>
  <c r="E18" i="8"/>
  <c r="E17" i="8"/>
  <c r="E14" i="8"/>
  <c r="E13" i="8"/>
  <c r="E15" i="9"/>
  <c r="C7" i="75"/>
  <c r="B18" i="12"/>
  <c r="B55" i="12"/>
  <c r="C79" i="62" l="1"/>
  <c r="B13" i="56" s="1"/>
  <c r="C78" i="62"/>
  <c r="B12" i="56" s="1"/>
  <c r="D54" i="62"/>
  <c r="C87" i="62" l="1"/>
  <c r="C55" i="62" l="1"/>
  <c r="C54" i="62"/>
  <c r="D27" i="62"/>
  <c r="H37" i="12"/>
  <c r="H28" i="12"/>
  <c r="D12" i="11"/>
  <c r="B12" i="11"/>
  <c r="B46" i="62" s="1"/>
  <c r="B23" i="12"/>
  <c r="B68" i="62" s="1"/>
  <c r="B24" i="12"/>
  <c r="B69" i="62" s="1"/>
  <c r="B26" i="12"/>
  <c r="B27" i="12"/>
  <c r="B28" i="12"/>
  <c r="B29" i="12"/>
  <c r="B11" i="75"/>
  <c r="E21" i="11"/>
  <c r="E12" i="11"/>
  <c r="D48" i="62"/>
  <c r="E54" i="62" l="1"/>
  <c r="C56" i="62"/>
  <c r="F12" i="11"/>
  <c r="C46" i="62" s="1"/>
  <c r="K12" i="11" l="1"/>
  <c r="F46" i="62"/>
  <c r="E21" i="9" l="1"/>
  <c r="B60" i="8"/>
  <c r="B62" i="8" s="1"/>
  <c r="D60" i="8"/>
  <c r="D62" i="8" s="1"/>
  <c r="E34" i="8"/>
  <c r="H68" i="12" l="1"/>
  <c r="H69" i="12"/>
  <c r="H17" i="9"/>
  <c r="H30" i="10"/>
  <c r="H19" i="9"/>
  <c r="H54" i="12"/>
  <c r="H14" i="11"/>
  <c r="H53" i="12"/>
  <c r="H25" i="8"/>
  <c r="H65" i="12"/>
  <c r="H55" i="12"/>
  <c r="H73" i="12"/>
  <c r="H70" i="12"/>
  <c r="H16" i="9"/>
  <c r="H13" i="11"/>
  <c r="H14" i="8"/>
  <c r="D47" i="62"/>
  <c r="E35" i="8"/>
  <c r="E37" i="8" s="1"/>
  <c r="H26" i="8" l="1"/>
  <c r="H71" i="12"/>
  <c r="H75" i="12"/>
  <c r="H15" i="9"/>
  <c r="D33" i="62" s="1"/>
  <c r="H14" i="65"/>
  <c r="H18" i="9"/>
  <c r="D36" i="62" s="1"/>
  <c r="H22" i="8"/>
  <c r="H72" i="12"/>
  <c r="H15" i="11"/>
  <c r="H52" i="12"/>
  <c r="H18" i="8"/>
  <c r="H51" i="12"/>
  <c r="H16" i="11"/>
  <c r="D37" i="62"/>
  <c r="D49" i="62"/>
  <c r="D34" i="62"/>
  <c r="D35" i="62"/>
  <c r="D51" i="62"/>
  <c r="D50" i="62"/>
  <c r="E17" i="11"/>
  <c r="E23" i="11" s="1"/>
  <c r="B9" i="75" s="1"/>
  <c r="C9" i="75" s="1"/>
  <c r="H13" i="8" l="1"/>
  <c r="H13" i="9"/>
  <c r="H20" i="9"/>
  <c r="D38" i="62" s="1"/>
  <c r="H125" i="9"/>
  <c r="E27" i="8"/>
  <c r="H50" i="12" l="1"/>
  <c r="H17" i="8"/>
  <c r="H12" i="11"/>
  <c r="H21" i="8"/>
  <c r="H23" i="8" s="1"/>
  <c r="D24" i="62" s="1"/>
  <c r="H25" i="10"/>
  <c r="D46" i="62"/>
  <c r="H17" i="11"/>
  <c r="L12" i="11"/>
  <c r="J12" i="11"/>
  <c r="M12" i="11" s="1"/>
  <c r="N12" i="11"/>
  <c r="D31" i="62"/>
  <c r="G46" i="62" l="1"/>
  <c r="I46" i="62"/>
  <c r="E46" i="62"/>
  <c r="H46" i="62" s="1"/>
  <c r="B109" i="8"/>
  <c r="E109" i="8"/>
  <c r="B113" i="8"/>
  <c r="B93" i="8"/>
  <c r="B33" i="8" s="1"/>
  <c r="D93" i="8"/>
  <c r="D33" i="8" s="1"/>
  <c r="F33" i="8" s="1"/>
  <c r="E111" i="8"/>
  <c r="E110" i="8"/>
  <c r="E108" i="8"/>
  <c r="E107" i="8"/>
  <c r="E113" i="8"/>
  <c r="E112" i="8"/>
  <c r="B112" i="8"/>
  <c r="E120" i="8"/>
  <c r="E119" i="8"/>
  <c r="E118" i="8"/>
  <c r="E117" i="8"/>
  <c r="B117" i="8"/>
  <c r="B120" i="8"/>
  <c r="B119" i="8"/>
  <c r="B118" i="8"/>
  <c r="B111" i="8"/>
  <c r="B110" i="8"/>
  <c r="B108" i="8"/>
  <c r="B107" i="8"/>
  <c r="D94" i="8"/>
  <c r="D34" i="8" s="1"/>
  <c r="F34" i="8" s="1"/>
  <c r="B94" i="8"/>
  <c r="B34" i="8" s="1"/>
  <c r="D91" i="8"/>
  <c r="D89" i="8"/>
  <c r="D88" i="8"/>
  <c r="D87" i="8"/>
  <c r="B91" i="8"/>
  <c r="B89" i="8"/>
  <c r="B88" i="8"/>
  <c r="B87" i="8"/>
  <c r="D26" i="62"/>
  <c r="D26" i="8"/>
  <c r="F26" i="8" s="1"/>
  <c r="C26" i="62" s="1"/>
  <c r="B26" i="8"/>
  <c r="B26" i="62" s="1"/>
  <c r="D72" i="8"/>
  <c r="D71" i="8"/>
  <c r="D70" i="8"/>
  <c r="D14" i="8" s="1"/>
  <c r="B72" i="8"/>
  <c r="B71" i="8"/>
  <c r="B70" i="8"/>
  <c r="B14" i="8" s="1"/>
  <c r="D64" i="8"/>
  <c r="B64" i="8"/>
  <c r="D22" i="8"/>
  <c r="F22" i="8" s="1"/>
  <c r="D59" i="8"/>
  <c r="D21" i="8" s="1"/>
  <c r="B59" i="8"/>
  <c r="B21" i="8" s="1"/>
  <c r="B22" i="8"/>
  <c r="D55" i="8"/>
  <c r="B55" i="8"/>
  <c r="D54" i="8"/>
  <c r="D17" i="8" s="1"/>
  <c r="B54" i="8"/>
  <c r="B17" i="8" s="1"/>
  <c r="D53" i="8"/>
  <c r="D13" i="8" s="1"/>
  <c r="B53" i="8"/>
  <c r="B13" i="8" s="1"/>
  <c r="B15" i="8" s="1"/>
  <c r="B22" i="62" s="1"/>
  <c r="H111" i="9"/>
  <c r="H113" i="9"/>
  <c r="H101" i="9"/>
  <c r="H92" i="9"/>
  <c r="H90" i="9"/>
  <c r="H80" i="9"/>
  <c r="H66" i="9"/>
  <c r="H54" i="9"/>
  <c r="H37" i="9"/>
  <c r="E120" i="9"/>
  <c r="E119" i="9"/>
  <c r="E118" i="9"/>
  <c r="B118" i="9"/>
  <c r="D110" i="9"/>
  <c r="D21" i="9" s="1"/>
  <c r="F21" i="9" s="1"/>
  <c r="C39" i="62" s="1"/>
  <c r="D95" i="9"/>
  <c r="D98" i="9"/>
  <c r="D97" i="9"/>
  <c r="D94" i="9"/>
  <c r="D92" i="9"/>
  <c r="D15" i="9" s="1"/>
  <c r="D88" i="9"/>
  <c r="D87" i="9"/>
  <c r="D83" i="9"/>
  <c r="D82" i="9"/>
  <c r="D78" i="9"/>
  <c r="D77" i="9"/>
  <c r="D73" i="9"/>
  <c r="D72" i="9"/>
  <c r="D64" i="9"/>
  <c r="D63" i="9"/>
  <c r="D62" i="9"/>
  <c r="D58" i="9"/>
  <c r="D57" i="9"/>
  <c r="D56" i="9"/>
  <c r="D59" i="9"/>
  <c r="D51" i="9"/>
  <c r="D50" i="9"/>
  <c r="D47" i="9"/>
  <c r="D48" i="9"/>
  <c r="D43" i="9"/>
  <c r="D42" i="9"/>
  <c r="D40" i="9"/>
  <c r="D39" i="9"/>
  <c r="D35" i="9"/>
  <c r="D34" i="9"/>
  <c r="D31" i="9"/>
  <c r="D30" i="9"/>
  <c r="D114" i="9"/>
  <c r="B58" i="9"/>
  <c r="B57" i="9"/>
  <c r="B56" i="9"/>
  <c r="B48" i="9"/>
  <c r="B47" i="9"/>
  <c r="B40" i="9"/>
  <c r="B95" i="9"/>
  <c r="B94" i="9"/>
  <c r="H14" i="9" l="1"/>
  <c r="B23" i="8"/>
  <c r="B24" i="62" s="1"/>
  <c r="D32" i="62"/>
  <c r="G26" i="62"/>
  <c r="D23" i="8"/>
  <c r="D25" i="62"/>
  <c r="H27" i="8"/>
  <c r="B28" i="62"/>
  <c r="L33" i="8"/>
  <c r="L23" i="8"/>
  <c r="E26" i="62"/>
  <c r="H26" i="62" s="1"/>
  <c r="F26" i="62"/>
  <c r="I26" i="62"/>
  <c r="K34" i="8"/>
  <c r="N33" i="8"/>
  <c r="J33" i="8"/>
  <c r="M33" i="8" s="1"/>
  <c r="C28" i="62"/>
  <c r="K33" i="8"/>
  <c r="D15" i="8"/>
  <c r="F14" i="8"/>
  <c r="N14" i="8" s="1"/>
  <c r="N26" i="8"/>
  <c r="J26" i="8"/>
  <c r="M26" i="8" s="1"/>
  <c r="K26" i="8"/>
  <c r="L26" i="8"/>
  <c r="L14" i="8"/>
  <c r="K22" i="8"/>
  <c r="L13" i="8"/>
  <c r="L17" i="8"/>
  <c r="H19" i="8"/>
  <c r="D23" i="62" s="1"/>
  <c r="H15" i="8"/>
  <c r="D22" i="62" s="1"/>
  <c r="J92" i="9"/>
  <c r="N92" i="9"/>
  <c r="D18" i="8"/>
  <c r="F92" i="9"/>
  <c r="B18" i="8"/>
  <c r="B19" i="8" s="1"/>
  <c r="B23" i="62" s="1"/>
  <c r="F28" i="62" l="1"/>
  <c r="H29" i="8"/>
  <c r="H38" i="8" s="1"/>
  <c r="K14" i="8"/>
  <c r="J14" i="8"/>
  <c r="M14" i="8" s="1"/>
  <c r="D19" i="8"/>
  <c r="L15" i="8"/>
  <c r="L19" i="8"/>
  <c r="L18" i="8"/>
  <c r="B42" i="9"/>
  <c r="B43" i="9"/>
  <c r="B39" i="9"/>
  <c r="B35" i="9"/>
  <c r="B34" i="9"/>
  <c r="B31" i="9"/>
  <c r="B30" i="9"/>
  <c r="D125" i="9"/>
  <c r="B125" i="9"/>
  <c r="B119" i="9"/>
  <c r="B110" i="9"/>
  <c r="B21" i="9" s="1"/>
  <c r="B39" i="62" s="1"/>
  <c r="B98" i="9"/>
  <c r="B97" i="9"/>
  <c r="B92" i="9"/>
  <c r="B15" i="9" s="1"/>
  <c r="B88" i="9"/>
  <c r="B87" i="9"/>
  <c r="B83" i="9"/>
  <c r="B82" i="9"/>
  <c r="B78" i="9"/>
  <c r="B77" i="9"/>
  <c r="B73" i="9"/>
  <c r="B72" i="9"/>
  <c r="B64" i="9"/>
  <c r="B63" i="9"/>
  <c r="B62" i="9"/>
  <c r="B51" i="9"/>
  <c r="B50" i="9"/>
  <c r="B114" i="9"/>
  <c r="L15" i="9" l="1"/>
  <c r="B33" i="62"/>
  <c r="G33" i="62" s="1"/>
  <c r="F39" i="62"/>
  <c r="K21" i="9"/>
  <c r="L92" i="9"/>
  <c r="K92" i="9"/>
  <c r="M92" i="9"/>
  <c r="E38" i="10" l="1"/>
  <c r="E37" i="10"/>
  <c r="D34" i="10"/>
  <c r="B34" i="10"/>
  <c r="B29" i="10"/>
  <c r="B28" i="10"/>
  <c r="B27" i="10"/>
  <c r="D29" i="10"/>
  <c r="D28" i="10"/>
  <c r="D27" i="10"/>
  <c r="D25" i="10"/>
  <c r="D13" i="10" s="1"/>
  <c r="B25" i="10"/>
  <c r="B13" i="10" s="1"/>
  <c r="B42" i="62" s="1"/>
  <c r="D83" i="12"/>
  <c r="D35" i="12" s="1"/>
  <c r="B83" i="12"/>
  <c r="B35" i="12" s="1"/>
  <c r="D82" i="12"/>
  <c r="D34" i="12" s="1"/>
  <c r="B82" i="12"/>
  <c r="B34" i="12" s="1"/>
  <c r="B36" i="12" s="1"/>
  <c r="D85" i="12"/>
  <c r="D37" i="12" s="1"/>
  <c r="F37" i="12" s="1"/>
  <c r="B71" i="12"/>
  <c r="B25" i="12" s="1"/>
  <c r="B70" i="62" s="1"/>
  <c r="D72" i="12"/>
  <c r="D26" i="12" s="1"/>
  <c r="F26" i="12" s="1"/>
  <c r="D71" i="12"/>
  <c r="D25" i="12" s="1"/>
  <c r="D70" i="12"/>
  <c r="D24" i="12" s="1"/>
  <c r="F24" i="12" s="1"/>
  <c r="D69" i="12"/>
  <c r="D23" i="12" s="1"/>
  <c r="F23" i="12" s="1"/>
  <c r="D68" i="12"/>
  <c r="D22" i="12" s="1"/>
  <c r="B68" i="12"/>
  <c r="B22" i="12" s="1"/>
  <c r="D63" i="12"/>
  <c r="D62" i="12"/>
  <c r="D60" i="12"/>
  <c r="D59" i="12"/>
  <c r="D58" i="12"/>
  <c r="B58" i="12"/>
  <c r="B63" i="12"/>
  <c r="B62" i="12"/>
  <c r="B60" i="12"/>
  <c r="B59" i="12"/>
  <c r="D109" i="12"/>
  <c r="D108" i="12"/>
  <c r="D100" i="12"/>
  <c r="D98" i="12"/>
  <c r="D97" i="12"/>
  <c r="D96" i="12"/>
  <c r="D95" i="12"/>
  <c r="D94" i="12"/>
  <c r="D93" i="12"/>
  <c r="H13" i="12"/>
  <c r="H14" i="12"/>
  <c r="H15" i="12"/>
  <c r="H16" i="12"/>
  <c r="D64" i="62" s="1"/>
  <c r="H17" i="12"/>
  <c r="D65" i="62" s="1"/>
  <c r="H12" i="12"/>
  <c r="B17" i="12"/>
  <c r="B65" i="62" s="1"/>
  <c r="B51" i="12"/>
  <c r="B13" i="12" s="1"/>
  <c r="B61" i="62" s="1"/>
  <c r="B52" i="12"/>
  <c r="B14" i="12" s="1"/>
  <c r="B62" i="62" s="1"/>
  <c r="B53" i="12"/>
  <c r="B15" i="12" s="1"/>
  <c r="B63" i="62" s="1"/>
  <c r="B54" i="12"/>
  <c r="B16" i="12" s="1"/>
  <c r="B64" i="62" s="1"/>
  <c r="B50" i="12"/>
  <c r="B12" i="12" s="1"/>
  <c r="B60" i="62" s="1"/>
  <c r="D51" i="12"/>
  <c r="D13" i="12" s="1"/>
  <c r="F13" i="12" s="1"/>
  <c r="D52" i="12"/>
  <c r="D14" i="12" s="1"/>
  <c r="F14" i="12" s="1"/>
  <c r="D53" i="12"/>
  <c r="D15" i="12" s="1"/>
  <c r="F15" i="12" s="1"/>
  <c r="D54" i="12"/>
  <c r="D16" i="12" s="1"/>
  <c r="D55" i="12"/>
  <c r="D17" i="12" s="1"/>
  <c r="F17" i="12" s="1"/>
  <c r="D50" i="12"/>
  <c r="D12" i="12" s="1"/>
  <c r="F12" i="12" s="1"/>
  <c r="D74" i="11"/>
  <c r="D43" i="11"/>
  <c r="B43" i="11"/>
  <c r="B56" i="11"/>
  <c r="D56" i="11"/>
  <c r="D70" i="11"/>
  <c r="B70" i="11"/>
  <c r="D78" i="11"/>
  <c r="B78" i="11"/>
  <c r="D77" i="11"/>
  <c r="B77" i="11"/>
  <c r="D75" i="11"/>
  <c r="D73" i="11"/>
  <c r="B73" i="11"/>
  <c r="D60" i="11"/>
  <c r="B60" i="11"/>
  <c r="D59" i="11"/>
  <c r="B59" i="11"/>
  <c r="D55" i="11"/>
  <c r="B55" i="11"/>
  <c r="D50" i="11"/>
  <c r="D49" i="11"/>
  <c r="D48" i="11"/>
  <c r="B50" i="11"/>
  <c r="B49" i="11"/>
  <c r="B48" i="11"/>
  <c r="D44" i="11"/>
  <c r="D42" i="11"/>
  <c r="B44" i="11"/>
  <c r="B42" i="11"/>
  <c r="D38" i="11"/>
  <c r="D20" i="11" s="1"/>
  <c r="F20" i="11" s="1"/>
  <c r="C52" i="62" s="1"/>
  <c r="B38" i="11"/>
  <c r="B20" i="11" s="1"/>
  <c r="D37" i="11"/>
  <c r="D19" i="11" s="1"/>
  <c r="B37" i="11"/>
  <c r="B19" i="11" s="1"/>
  <c r="B48" i="62" s="1"/>
  <c r="D36" i="11"/>
  <c r="D13" i="11" s="1"/>
  <c r="B36" i="11"/>
  <c r="B13" i="11" s="1"/>
  <c r="B47" i="62" s="1"/>
  <c r="B14" i="65"/>
  <c r="B55" i="62" s="1"/>
  <c r="B12" i="65"/>
  <c r="B54" i="62" s="1"/>
  <c r="A2" i="74"/>
  <c r="B52" i="62" l="1"/>
  <c r="B56" i="62"/>
  <c r="N12" i="12"/>
  <c r="J12" i="12"/>
  <c r="M12" i="12" s="1"/>
  <c r="C60" i="62"/>
  <c r="K12" i="12"/>
  <c r="D18" i="12"/>
  <c r="F18" i="12" s="1"/>
  <c r="F16" i="12"/>
  <c r="C62" i="62"/>
  <c r="F62" i="62" s="1"/>
  <c r="N14" i="12"/>
  <c r="J14" i="12"/>
  <c r="M14" i="12" s="1"/>
  <c r="K14" i="12"/>
  <c r="D60" i="62"/>
  <c r="G60" i="62" s="1"/>
  <c r="L12" i="12"/>
  <c r="D62" i="62"/>
  <c r="G62" i="62" s="1"/>
  <c r="L14" i="12"/>
  <c r="B30" i="12"/>
  <c r="B67" i="62"/>
  <c r="C68" i="62"/>
  <c r="F25" i="12"/>
  <c r="K25" i="12"/>
  <c r="F52" i="62"/>
  <c r="C65" i="62"/>
  <c r="F65" i="62" s="1"/>
  <c r="N17" i="12"/>
  <c r="J17" i="12"/>
  <c r="K15" i="12"/>
  <c r="C63" i="62"/>
  <c r="F63" i="62" s="1"/>
  <c r="N15" i="12"/>
  <c r="J15" i="12"/>
  <c r="M15" i="12" s="1"/>
  <c r="C61" i="62"/>
  <c r="F61" i="62" s="1"/>
  <c r="K13" i="12"/>
  <c r="N13" i="12"/>
  <c r="J13" i="12"/>
  <c r="M13" i="12" s="1"/>
  <c r="D63" i="62"/>
  <c r="G63" i="62" s="1"/>
  <c r="L15" i="12"/>
  <c r="D61" i="62"/>
  <c r="G61" i="62" s="1"/>
  <c r="L13" i="12"/>
  <c r="K22" i="12"/>
  <c r="F22" i="12"/>
  <c r="C69" i="62"/>
  <c r="J37" i="12"/>
  <c r="D36" i="12"/>
  <c r="K34" i="12"/>
  <c r="F34" i="12"/>
  <c r="K35" i="12"/>
  <c r="F35" i="12"/>
  <c r="G65" i="62"/>
  <c r="F13" i="11"/>
  <c r="C47" i="62" s="1"/>
  <c r="D21" i="11"/>
  <c r="F19" i="11"/>
  <c r="C48" i="62" s="1"/>
  <c r="K20" i="11"/>
  <c r="L13" i="11"/>
  <c r="L19" i="11"/>
  <c r="B21" i="11"/>
  <c r="K36" i="12" l="1"/>
  <c r="F36" i="12"/>
  <c r="F60" i="62"/>
  <c r="C67" i="62"/>
  <c r="F67" i="62" s="1"/>
  <c r="C70" i="62"/>
  <c r="F70" i="62" s="1"/>
  <c r="N16" i="12"/>
  <c r="J16" i="12"/>
  <c r="C64" i="62"/>
  <c r="N19" i="11"/>
  <c r="K19" i="11"/>
  <c r="J19" i="11"/>
  <c r="F21" i="11"/>
  <c r="K13" i="11"/>
  <c r="J13" i="11"/>
  <c r="N13" i="11"/>
  <c r="H35" i="12"/>
  <c r="H34" i="12"/>
  <c r="B76" i="12"/>
  <c r="B61" i="12"/>
  <c r="B65" i="12" s="1"/>
  <c r="B19" i="12" s="1"/>
  <c r="B56" i="12"/>
  <c r="K60" i="11"/>
  <c r="B57" i="11"/>
  <c r="K48" i="11"/>
  <c r="K43" i="11"/>
  <c r="K42" i="11"/>
  <c r="B89" i="9"/>
  <c r="F58" i="9"/>
  <c r="B41" i="9"/>
  <c r="A2" i="72"/>
  <c r="B90" i="8"/>
  <c r="F64" i="12"/>
  <c r="F59" i="12"/>
  <c r="B79" i="11"/>
  <c r="F78" i="9"/>
  <c r="F31" i="9"/>
  <c r="B65" i="9"/>
  <c r="F89" i="8"/>
  <c r="F55" i="8"/>
  <c r="F56" i="8" s="1"/>
  <c r="H84" i="12"/>
  <c r="H86" i="12" s="1"/>
  <c r="H38" i="12" s="1"/>
  <c r="F70" i="12"/>
  <c r="D61" i="12"/>
  <c r="F55" i="12"/>
  <c r="F59" i="11"/>
  <c r="F44" i="11"/>
  <c r="F28" i="10"/>
  <c r="B121" i="9"/>
  <c r="F98" i="9"/>
  <c r="F97" i="9"/>
  <c r="F56" i="9"/>
  <c r="B44" i="9"/>
  <c r="D41" i="9"/>
  <c r="F88" i="8"/>
  <c r="B73" i="8"/>
  <c r="B74" i="8" s="1"/>
  <c r="A2" i="65"/>
  <c r="A2" i="17"/>
  <c r="A2" i="16"/>
  <c r="A2" i="15"/>
  <c r="A2" i="14"/>
  <c r="A2" i="13"/>
  <c r="A2" i="12"/>
  <c r="A2" i="11"/>
  <c r="A2" i="10"/>
  <c r="E33" i="10"/>
  <c r="A2" i="9"/>
  <c r="A2" i="8"/>
  <c r="I1" i="62"/>
  <c r="E1" i="56"/>
  <c r="D22" i="56"/>
  <c r="E22" i="56"/>
  <c r="F30" i="9"/>
  <c r="F50" i="12"/>
  <c r="K50" i="12"/>
  <c r="F57" i="9"/>
  <c r="F94" i="9"/>
  <c r="F72" i="9"/>
  <c r="F82" i="9"/>
  <c r="F39" i="9"/>
  <c r="D99" i="9"/>
  <c r="F43" i="11"/>
  <c r="F63" i="9"/>
  <c r="F51" i="12"/>
  <c r="F62" i="12"/>
  <c r="B16" i="65"/>
  <c r="B17" i="65" s="1"/>
  <c r="F58" i="12"/>
  <c r="K49" i="11"/>
  <c r="K71" i="12"/>
  <c r="F77" i="9"/>
  <c r="F48" i="9"/>
  <c r="F51" i="9"/>
  <c r="F34" i="9"/>
  <c r="F29" i="10"/>
  <c r="F53" i="12"/>
  <c r="B32" i="9"/>
  <c r="K119" i="9"/>
  <c r="F48" i="11"/>
  <c r="F54" i="12"/>
  <c r="D56" i="12"/>
  <c r="F56" i="12" s="1"/>
  <c r="K55" i="11"/>
  <c r="F65" i="8"/>
  <c r="F60" i="8"/>
  <c r="F62" i="8" s="1"/>
  <c r="F72" i="8"/>
  <c r="D90" i="8"/>
  <c r="D96" i="9"/>
  <c r="K59" i="11"/>
  <c r="F55" i="11"/>
  <c r="F27" i="10"/>
  <c r="F30" i="10" s="1"/>
  <c r="F47" i="9"/>
  <c r="K120" i="8"/>
  <c r="B96" i="9"/>
  <c r="F25" i="10"/>
  <c r="F38" i="11"/>
  <c r="F42" i="11"/>
  <c r="F56" i="11"/>
  <c r="F60" i="12"/>
  <c r="F61" i="12" s="1"/>
  <c r="F110" i="9"/>
  <c r="B30" i="10"/>
  <c r="B14" i="10" s="1"/>
  <c r="B43" i="62" s="1"/>
  <c r="B44" i="62" s="1"/>
  <c r="F50" i="11"/>
  <c r="K53" i="12"/>
  <c r="F71" i="12"/>
  <c r="F99" i="9"/>
  <c r="F128" i="9"/>
  <c r="J128" i="9" s="1"/>
  <c r="B59" i="9"/>
  <c r="D60" i="9"/>
  <c r="K25" i="10"/>
  <c r="F70" i="8"/>
  <c r="F71" i="8"/>
  <c r="F50" i="9"/>
  <c r="D52" i="9"/>
  <c r="K108" i="8"/>
  <c r="B36" i="9"/>
  <c r="B49" i="9"/>
  <c r="D79" i="9"/>
  <c r="F87" i="9"/>
  <c r="F125" i="9"/>
  <c r="F127" i="9" s="1"/>
  <c r="F129" i="9" s="1"/>
  <c r="D74" i="9"/>
  <c r="D20" i="9" s="1"/>
  <c r="B74" i="9"/>
  <c r="B20" i="9" s="1"/>
  <c r="B127" i="9"/>
  <c r="B129" i="9" s="1"/>
  <c r="D45" i="11"/>
  <c r="D46" i="11" s="1"/>
  <c r="D14" i="11" s="1"/>
  <c r="D65" i="12"/>
  <c r="K68" i="12"/>
  <c r="F68" i="12"/>
  <c r="B60" i="9"/>
  <c r="K56" i="11"/>
  <c r="D57" i="11"/>
  <c r="F126" i="9"/>
  <c r="J126" i="9" s="1"/>
  <c r="D84" i="9"/>
  <c r="F84" i="9" s="1"/>
  <c r="D127" i="9"/>
  <c r="D129" i="9" s="1"/>
  <c r="B84" i="9"/>
  <c r="B75" i="9"/>
  <c r="D85" i="9"/>
  <c r="F87" i="8"/>
  <c r="D32" i="9"/>
  <c r="F40" i="9"/>
  <c r="F41" i="9" s="1"/>
  <c r="B51" i="11"/>
  <c r="B52" i="11" s="1"/>
  <c r="B15" i="11" s="1"/>
  <c r="B50" i="62" s="1"/>
  <c r="F60" i="11"/>
  <c r="D61" i="11"/>
  <c r="D63" i="11" s="1"/>
  <c r="D16" i="11" s="1"/>
  <c r="F16" i="11" s="1"/>
  <c r="C51" i="62" s="1"/>
  <c r="F49" i="11"/>
  <c r="C12" i="65"/>
  <c r="F52" i="12"/>
  <c r="F63" i="12"/>
  <c r="F72" i="12"/>
  <c r="E121" i="8"/>
  <c r="D44" i="9"/>
  <c r="D45" i="9" s="1"/>
  <c r="F42" i="9"/>
  <c r="B52" i="9"/>
  <c r="F43" i="9"/>
  <c r="B99" i="9"/>
  <c r="B45" i="11"/>
  <c r="B46" i="11" s="1"/>
  <c r="D51" i="11"/>
  <c r="F51" i="11"/>
  <c r="B61" i="11"/>
  <c r="F79" i="9"/>
  <c r="D30" i="10"/>
  <c r="K110" i="9"/>
  <c r="F90" i="8"/>
  <c r="F59" i="9"/>
  <c r="L82" i="12"/>
  <c r="F93" i="8"/>
  <c r="D29" i="12"/>
  <c r="F29" i="12" s="1"/>
  <c r="D28" i="12"/>
  <c r="F28" i="12" s="1"/>
  <c r="B63" i="8"/>
  <c r="D84" i="12"/>
  <c r="D86" i="12" s="1"/>
  <c r="N82" i="12"/>
  <c r="K82" i="12"/>
  <c r="F82" i="12"/>
  <c r="J82" i="12"/>
  <c r="M82" i="12" s="1"/>
  <c r="L83" i="12"/>
  <c r="B84" i="12"/>
  <c r="L84" i="12" s="1"/>
  <c r="D99" i="12"/>
  <c r="B76" i="8"/>
  <c r="F94" i="8"/>
  <c r="B67" i="8"/>
  <c r="B95" i="8"/>
  <c r="F59" i="8"/>
  <c r="D63" i="8"/>
  <c r="K83" i="12"/>
  <c r="F83" i="12"/>
  <c r="F84" i="12" s="1"/>
  <c r="J83" i="12"/>
  <c r="N83" i="12"/>
  <c r="D101" i="12"/>
  <c r="D12" i="56" s="1"/>
  <c r="K37" i="11"/>
  <c r="F85" i="12"/>
  <c r="J85" i="12"/>
  <c r="D27" i="12"/>
  <c r="D110" i="12"/>
  <c r="D39" i="11"/>
  <c r="D66" i="11" s="1"/>
  <c r="F37" i="11"/>
  <c r="F39" i="11" s="1"/>
  <c r="F66" i="11" s="1"/>
  <c r="F53" i="8"/>
  <c r="D67" i="8"/>
  <c r="D79" i="8" s="1"/>
  <c r="D76" i="8"/>
  <c r="K38" i="11"/>
  <c r="B39" i="11"/>
  <c r="F36" i="11"/>
  <c r="K36" i="11"/>
  <c r="B66" i="8"/>
  <c r="B25" i="8" s="1"/>
  <c r="B56" i="8"/>
  <c r="B57" i="8" s="1"/>
  <c r="B77" i="8" s="1"/>
  <c r="D66" i="8"/>
  <c r="F64" i="8"/>
  <c r="J125" i="9"/>
  <c r="H127" i="9"/>
  <c r="H129" i="9" s="1"/>
  <c r="D103" i="12"/>
  <c r="D84" i="8"/>
  <c r="B84" i="8"/>
  <c r="F74" i="12"/>
  <c r="D76" i="12"/>
  <c r="L37" i="11"/>
  <c r="F86" i="12" l="1"/>
  <c r="B66" i="12"/>
  <c r="F73" i="12"/>
  <c r="F57" i="11"/>
  <c r="D71" i="62"/>
  <c r="K84" i="12"/>
  <c r="K51" i="11"/>
  <c r="B27" i="8"/>
  <c r="B29" i="8" s="1"/>
  <c r="L29" i="8" s="1"/>
  <c r="B25" i="62"/>
  <c r="F27" i="12"/>
  <c r="D30" i="12"/>
  <c r="N86" i="12"/>
  <c r="D38" i="12"/>
  <c r="F38" i="12" s="1"/>
  <c r="J38" i="12" s="1"/>
  <c r="J28" i="12"/>
  <c r="D66" i="12"/>
  <c r="D77" i="12" s="1"/>
  <c r="D19" i="12"/>
  <c r="L20" i="9"/>
  <c r="B38" i="62"/>
  <c r="G38" i="62" s="1"/>
  <c r="B20" i="12"/>
  <c r="B66" i="62"/>
  <c r="B31" i="12"/>
  <c r="H36" i="12"/>
  <c r="L34" i="12"/>
  <c r="J34" i="12"/>
  <c r="M34" i="12" s="1"/>
  <c r="N34" i="12"/>
  <c r="L35" i="12"/>
  <c r="J35" i="12"/>
  <c r="M35" i="12" s="1"/>
  <c r="B68" i="8"/>
  <c r="B80" i="8" s="1"/>
  <c r="N84" i="12"/>
  <c r="B53" i="11"/>
  <c r="B14" i="11"/>
  <c r="B49" i="62" s="1"/>
  <c r="N16" i="11"/>
  <c r="J16" i="11"/>
  <c r="M13" i="11"/>
  <c r="K21" i="11"/>
  <c r="L15" i="11"/>
  <c r="F14" i="11"/>
  <c r="C49" i="62" s="1"/>
  <c r="M19" i="11"/>
  <c r="D75" i="9"/>
  <c r="D80" i="9" s="1"/>
  <c r="D17" i="9" s="1"/>
  <c r="F74" i="9"/>
  <c r="C14" i="65"/>
  <c r="F45" i="11"/>
  <c r="F46" i="11" s="1"/>
  <c r="B66" i="11"/>
  <c r="D31" i="10"/>
  <c r="D14" i="10"/>
  <c r="L27" i="8"/>
  <c r="B15" i="10"/>
  <c r="J80" i="9"/>
  <c r="L25" i="8"/>
  <c r="F31" i="10"/>
  <c r="B53" i="9"/>
  <c r="C16" i="65"/>
  <c r="D97" i="8"/>
  <c r="F97" i="8" s="1"/>
  <c r="F95" i="8"/>
  <c r="D25" i="8"/>
  <c r="D27" i="8" s="1"/>
  <c r="D29" i="8" s="1"/>
  <c r="F76" i="8"/>
  <c r="F67" i="8"/>
  <c r="F79" i="8" s="1"/>
  <c r="D92" i="8"/>
  <c r="K110" i="8"/>
  <c r="K111" i="8"/>
  <c r="B121" i="8"/>
  <c r="K117" i="8"/>
  <c r="K118" i="8"/>
  <c r="K119" i="8"/>
  <c r="B114" i="8"/>
  <c r="B122" i="8" s="1"/>
  <c r="F49" i="9"/>
  <c r="B68" i="9"/>
  <c r="B85" i="9"/>
  <c r="B90" i="9" s="1"/>
  <c r="B18" i="9" s="1"/>
  <c r="D49" i="9"/>
  <c r="F44" i="9"/>
  <c r="F45" i="9" s="1"/>
  <c r="D67" i="9"/>
  <c r="F52" i="11"/>
  <c r="K45" i="11"/>
  <c r="F61" i="11"/>
  <c r="F63" i="11" s="1"/>
  <c r="J37" i="11"/>
  <c r="D73" i="8"/>
  <c r="F32" i="9"/>
  <c r="F66" i="8"/>
  <c r="B58" i="8"/>
  <c r="M83" i="12"/>
  <c r="J84" i="12"/>
  <c r="D56" i="8"/>
  <c r="D95" i="8"/>
  <c r="D102" i="12"/>
  <c r="D53" i="9"/>
  <c r="K121" i="8"/>
  <c r="M37" i="11"/>
  <c r="F73" i="8"/>
  <c r="B101" i="9"/>
  <c r="B19" i="9" s="1"/>
  <c r="B37" i="9"/>
  <c r="B13" i="9" s="1"/>
  <c r="B31" i="62" s="1"/>
  <c r="B66" i="9"/>
  <c r="B16" i="9" s="1"/>
  <c r="K30" i="10"/>
  <c r="D101" i="9"/>
  <c r="F60" i="9"/>
  <c r="B92" i="8"/>
  <c r="F91" i="8"/>
  <c r="F92" i="8" s="1"/>
  <c r="F54" i="8"/>
  <c r="E114" i="8"/>
  <c r="K107" i="8"/>
  <c r="F35" i="9"/>
  <c r="D36" i="9"/>
  <c r="D37" i="9" s="1"/>
  <c r="D65" i="9"/>
  <c r="F62" i="9"/>
  <c r="F64" i="9"/>
  <c r="F73" i="9"/>
  <c r="B79" i="9"/>
  <c r="B80" i="9" s="1"/>
  <c r="B17" i="9" s="1"/>
  <c r="F83" i="9"/>
  <c r="F85" i="9" s="1"/>
  <c r="F88" i="9"/>
  <c r="F89" i="9" s="1"/>
  <c r="F105" i="9" s="1"/>
  <c r="D89" i="9"/>
  <c r="F95" i="9"/>
  <c r="F96" i="9" s="1"/>
  <c r="F101" i="9" s="1"/>
  <c r="K118" i="9"/>
  <c r="E121" i="9"/>
  <c r="B31" i="10"/>
  <c r="B33" i="10" s="1"/>
  <c r="E39" i="10"/>
  <c r="K44" i="11"/>
  <c r="K50" i="11"/>
  <c r="K57" i="11"/>
  <c r="B63" i="11"/>
  <c r="B16" i="11" s="1"/>
  <c r="B51" i="62" s="1"/>
  <c r="D79" i="11"/>
  <c r="K51" i="12"/>
  <c r="K52" i="12"/>
  <c r="F69" i="12"/>
  <c r="K61" i="11"/>
  <c r="B45" i="9"/>
  <c r="B54" i="9" s="1"/>
  <c r="B14" i="9" s="1"/>
  <c r="F52" i="9"/>
  <c r="F53" i="9" s="1"/>
  <c r="F54" i="9" s="1"/>
  <c r="F36" i="9"/>
  <c r="F37" i="9" s="1"/>
  <c r="B79" i="8"/>
  <c r="B69" i="8"/>
  <c r="N37" i="11"/>
  <c r="F65" i="12"/>
  <c r="D52" i="11"/>
  <c r="D15" i="11" s="1"/>
  <c r="F15" i="11" s="1"/>
  <c r="C50" i="62" s="1"/>
  <c r="J127" i="9"/>
  <c r="J129" i="9" s="1"/>
  <c r="L101" i="9"/>
  <c r="F75" i="12"/>
  <c r="K65" i="12"/>
  <c r="K46" i="11"/>
  <c r="C14" i="10" l="1"/>
  <c r="B16" i="10"/>
  <c r="N38" i="12"/>
  <c r="B53" i="62"/>
  <c r="C53" i="62"/>
  <c r="L14" i="9"/>
  <c r="B32" i="62"/>
  <c r="L16" i="9"/>
  <c r="B34" i="62"/>
  <c r="L18" i="9"/>
  <c r="B36" i="62"/>
  <c r="D103" i="9"/>
  <c r="D107" i="9" s="1"/>
  <c r="F19" i="12"/>
  <c r="D20" i="12"/>
  <c r="F20" i="12" s="1"/>
  <c r="L17" i="9"/>
  <c r="B35" i="62"/>
  <c r="L19" i="9"/>
  <c r="B37" i="62"/>
  <c r="C71" i="62"/>
  <c r="K30" i="12"/>
  <c r="F30" i="12"/>
  <c r="L36" i="12"/>
  <c r="J36" i="12"/>
  <c r="M36" i="12" s="1"/>
  <c r="N36" i="12"/>
  <c r="F75" i="9"/>
  <c r="F80" i="9" s="1"/>
  <c r="B67" i="9"/>
  <c r="B69" i="9" s="1"/>
  <c r="L16" i="11"/>
  <c r="N14" i="11"/>
  <c r="K14" i="11"/>
  <c r="J14" i="11"/>
  <c r="F17" i="11"/>
  <c r="M16" i="11"/>
  <c r="K15" i="11"/>
  <c r="J15" i="11"/>
  <c r="M15" i="11" s="1"/>
  <c r="N15" i="11"/>
  <c r="L14" i="11"/>
  <c r="B17" i="11"/>
  <c r="D17" i="11"/>
  <c r="D23" i="11" s="1"/>
  <c r="K16" i="11"/>
  <c r="D15" i="10"/>
  <c r="C13" i="10"/>
  <c r="C15" i="10" s="1"/>
  <c r="B23" i="9"/>
  <c r="L13" i="9"/>
  <c r="J37" i="9"/>
  <c r="D13" i="9"/>
  <c r="J101" i="9"/>
  <c r="D19" i="9"/>
  <c r="C13" i="9"/>
  <c r="B38" i="8"/>
  <c r="L38" i="8" s="1"/>
  <c r="B32" i="8"/>
  <c r="D32" i="8"/>
  <c r="F25" i="8"/>
  <c r="D38" i="8"/>
  <c r="F63" i="8"/>
  <c r="B103" i="9"/>
  <c r="K37" i="9"/>
  <c r="D88" i="12"/>
  <c r="D74" i="8"/>
  <c r="F90" i="9"/>
  <c r="F103" i="9"/>
  <c r="F96" i="8"/>
  <c r="F53" i="11"/>
  <c r="F65" i="11" s="1"/>
  <c r="D32" i="10"/>
  <c r="C31" i="10"/>
  <c r="C25" i="10"/>
  <c r="C29" i="10"/>
  <c r="C33" i="10"/>
  <c r="B35" i="10"/>
  <c r="C27" i="10"/>
  <c r="C28" i="10"/>
  <c r="D105" i="9"/>
  <c r="B105" i="9"/>
  <c r="E122" i="8"/>
  <c r="K114" i="8"/>
  <c r="D82" i="8"/>
  <c r="F57" i="8"/>
  <c r="N101" i="9"/>
  <c r="K101" i="9"/>
  <c r="L90" i="9"/>
  <c r="F74" i="8"/>
  <c r="D54" i="9"/>
  <c r="D57" i="8"/>
  <c r="D90" i="9"/>
  <c r="B96" i="8"/>
  <c r="K31" i="10"/>
  <c r="L80" i="9"/>
  <c r="D68" i="11"/>
  <c r="B65" i="11"/>
  <c r="D112" i="9"/>
  <c r="K121" i="9"/>
  <c r="D66" i="9"/>
  <c r="D68" i="9"/>
  <c r="F67" i="9"/>
  <c r="L66" i="9"/>
  <c r="K80" i="9"/>
  <c r="N80" i="9"/>
  <c r="D13" i="56"/>
  <c r="D96" i="8"/>
  <c r="D98" i="8" s="1"/>
  <c r="M84" i="12"/>
  <c r="J86" i="12"/>
  <c r="F65" i="9"/>
  <c r="F68" i="9" s="1"/>
  <c r="F108" i="9" s="1"/>
  <c r="K63" i="11"/>
  <c r="C30" i="10"/>
  <c r="M80" i="9"/>
  <c r="D53" i="11"/>
  <c r="K52" i="11"/>
  <c r="F107" i="9"/>
  <c r="F106" i="9"/>
  <c r="F66" i="12"/>
  <c r="B81" i="8"/>
  <c r="F76" i="12"/>
  <c r="B107" i="9"/>
  <c r="K54" i="9"/>
  <c r="K66" i="12"/>
  <c r="B77" i="12"/>
  <c r="D31" i="12" l="1"/>
  <c r="C14" i="9"/>
  <c r="B24" i="9"/>
  <c r="C18" i="9"/>
  <c r="F69" i="9"/>
  <c r="B40" i="62"/>
  <c r="F53" i="62"/>
  <c r="C66" i="62"/>
  <c r="C72" i="62" s="1"/>
  <c r="K19" i="12"/>
  <c r="B35" i="8"/>
  <c r="L32" i="8"/>
  <c r="B27" i="62"/>
  <c r="C17" i="9"/>
  <c r="D40" i="12"/>
  <c r="F40" i="12" s="1"/>
  <c r="F31" i="12"/>
  <c r="K31" i="12"/>
  <c r="K20" i="12"/>
  <c r="F27" i="8"/>
  <c r="K27" i="8" s="1"/>
  <c r="C25" i="62"/>
  <c r="B23" i="11"/>
  <c r="B24" i="11" s="1"/>
  <c r="L17" i="11"/>
  <c r="K17" i="11"/>
  <c r="N17" i="11"/>
  <c r="F23" i="11"/>
  <c r="F24" i="11" s="1"/>
  <c r="M14" i="11"/>
  <c r="J17" i="11"/>
  <c r="C19" i="9"/>
  <c r="C16" i="9"/>
  <c r="C21" i="9"/>
  <c r="N25" i="8"/>
  <c r="J25" i="8"/>
  <c r="J90" i="9"/>
  <c r="D18" i="9"/>
  <c r="J54" i="9"/>
  <c r="M54" i="9" s="1"/>
  <c r="D14" i="9"/>
  <c r="C15" i="9"/>
  <c r="C20" i="9"/>
  <c r="J66" i="9"/>
  <c r="M66" i="9" s="1"/>
  <c r="D16" i="9"/>
  <c r="K25" i="8"/>
  <c r="D35" i="8"/>
  <c r="D37" i="8" s="1"/>
  <c r="D39" i="8" s="1"/>
  <c r="F32" i="8"/>
  <c r="D69" i="9"/>
  <c r="D108" i="9"/>
  <c r="K66" i="9"/>
  <c r="N66" i="9"/>
  <c r="K90" i="9"/>
  <c r="N90" i="9"/>
  <c r="D68" i="8"/>
  <c r="D77" i="8"/>
  <c r="D58" i="8"/>
  <c r="F77" i="8"/>
  <c r="F68" i="8"/>
  <c r="F58" i="8"/>
  <c r="D101" i="8"/>
  <c r="F82" i="8"/>
  <c r="K122" i="8"/>
  <c r="B108" i="9"/>
  <c r="B106" i="9"/>
  <c r="D106" i="9"/>
  <c r="M101" i="9"/>
  <c r="F98" i="8"/>
  <c r="J112" i="9"/>
  <c r="F112" i="9"/>
  <c r="B67" i="11"/>
  <c r="B69" i="11" s="1"/>
  <c r="B71" i="11" s="1"/>
  <c r="F68" i="11"/>
  <c r="J68" i="11"/>
  <c r="M90" i="9"/>
  <c r="B98" i="8"/>
  <c r="M37" i="9"/>
  <c r="J32" i="10"/>
  <c r="F32" i="10"/>
  <c r="D33" i="10"/>
  <c r="D35" i="10" s="1"/>
  <c r="F66" i="9"/>
  <c r="F48" i="62"/>
  <c r="F67" i="11"/>
  <c r="B100" i="8"/>
  <c r="B83" i="8"/>
  <c r="N37" i="9"/>
  <c r="L37" i="9"/>
  <c r="F109" i="9"/>
  <c r="D65" i="11"/>
  <c r="K53" i="11"/>
  <c r="F77" i="12"/>
  <c r="G19" i="12" l="1"/>
  <c r="F41" i="12"/>
  <c r="B37" i="8"/>
  <c r="C23" i="9"/>
  <c r="G20" i="12"/>
  <c r="B29" i="62"/>
  <c r="G31" i="12"/>
  <c r="F66" i="62"/>
  <c r="G40" i="12"/>
  <c r="G12" i="12"/>
  <c r="G14" i="12"/>
  <c r="G23" i="12"/>
  <c r="G15" i="12"/>
  <c r="G24" i="12"/>
  <c r="G17" i="12"/>
  <c r="G13" i="12"/>
  <c r="G26" i="12"/>
  <c r="G37" i="12"/>
  <c r="G35" i="12"/>
  <c r="G18" i="12"/>
  <c r="G22" i="12"/>
  <c r="G25" i="12"/>
  <c r="G34" i="12"/>
  <c r="G16" i="12"/>
  <c r="G29" i="12"/>
  <c r="G28" i="12"/>
  <c r="G36" i="12"/>
  <c r="G27" i="12"/>
  <c r="G38" i="12"/>
  <c r="B39" i="8"/>
  <c r="B40" i="8" s="1"/>
  <c r="G30" i="12"/>
  <c r="C27" i="62"/>
  <c r="I27" i="62" s="1"/>
  <c r="K32" i="8"/>
  <c r="N32" i="8"/>
  <c r="J32" i="8"/>
  <c r="M32" i="8" s="1"/>
  <c r="M17" i="11"/>
  <c r="G19" i="11"/>
  <c r="K23" i="11"/>
  <c r="G12" i="11"/>
  <c r="G20" i="11"/>
  <c r="G13" i="11"/>
  <c r="G16" i="11"/>
  <c r="G14" i="11"/>
  <c r="G15" i="11"/>
  <c r="C12" i="11"/>
  <c r="C13" i="11"/>
  <c r="C19" i="11"/>
  <c r="C20" i="11"/>
  <c r="C15" i="11"/>
  <c r="C16" i="11"/>
  <c r="C14" i="11"/>
  <c r="M25" i="8"/>
  <c r="J27" i="8"/>
  <c r="M27" i="8" s="1"/>
  <c r="D23" i="9"/>
  <c r="F35" i="8"/>
  <c r="B109" i="9"/>
  <c r="F33" i="10"/>
  <c r="C67" i="11"/>
  <c r="C48" i="11"/>
  <c r="C59" i="11"/>
  <c r="C50" i="11"/>
  <c r="C61" i="11"/>
  <c r="C36" i="11"/>
  <c r="C69" i="11"/>
  <c r="C46" i="11"/>
  <c r="C44" i="11"/>
  <c r="C51" i="11"/>
  <c r="C53" i="11"/>
  <c r="C56" i="11"/>
  <c r="C57" i="11"/>
  <c r="C49" i="11"/>
  <c r="C43" i="11"/>
  <c r="C66" i="11"/>
  <c r="C60" i="11"/>
  <c r="C55" i="11"/>
  <c r="C45" i="11"/>
  <c r="C42" i="11"/>
  <c r="C52" i="11"/>
  <c r="C63" i="11"/>
  <c r="F101" i="8"/>
  <c r="D69" i="8"/>
  <c r="D80" i="8"/>
  <c r="D109" i="9"/>
  <c r="D111" i="9" s="1"/>
  <c r="D113" i="9" s="1"/>
  <c r="B19" i="62"/>
  <c r="F80" i="8"/>
  <c r="F69" i="8"/>
  <c r="C65" i="11"/>
  <c r="G25" i="62"/>
  <c r="F69" i="11"/>
  <c r="G67" i="11" s="1"/>
  <c r="K65" i="11"/>
  <c r="D67" i="11"/>
  <c r="F111" i="9"/>
  <c r="F113" i="9" s="1"/>
  <c r="G92" i="9" s="1"/>
  <c r="B102" i="8"/>
  <c r="C61" i="8" s="1"/>
  <c r="N54" i="9"/>
  <c r="L54" i="9"/>
  <c r="F88" i="12"/>
  <c r="G77" i="12" s="1"/>
  <c r="B111" i="9"/>
  <c r="K35" i="8" l="1"/>
  <c r="B57" i="62"/>
  <c r="B73" i="62" s="1"/>
  <c r="G21" i="11"/>
  <c r="C21" i="11"/>
  <c r="G17" i="11"/>
  <c r="C17" i="11"/>
  <c r="F37" i="8"/>
  <c r="C83" i="8"/>
  <c r="C26" i="8"/>
  <c r="K111" i="9"/>
  <c r="G29" i="10"/>
  <c r="K33" i="10"/>
  <c r="G33" i="10"/>
  <c r="G27" i="10"/>
  <c r="G31" i="10"/>
  <c r="G25" i="10"/>
  <c r="G28" i="10"/>
  <c r="G30" i="10"/>
  <c r="F81" i="8"/>
  <c r="F47" i="62"/>
  <c r="D81" i="8"/>
  <c r="G48" i="11"/>
  <c r="G45" i="11"/>
  <c r="G69" i="11"/>
  <c r="G51" i="11"/>
  <c r="G50" i="11"/>
  <c r="G56" i="11"/>
  <c r="G59" i="11"/>
  <c r="G43" i="11"/>
  <c r="G53" i="11"/>
  <c r="G46" i="11"/>
  <c r="G44" i="11"/>
  <c r="G55" i="11"/>
  <c r="G60" i="11"/>
  <c r="G42" i="11"/>
  <c r="G52" i="11"/>
  <c r="G36" i="11"/>
  <c r="G49" i="11"/>
  <c r="G61" i="11"/>
  <c r="G66" i="11"/>
  <c r="G68" i="11"/>
  <c r="G57" i="11"/>
  <c r="G63" i="11"/>
  <c r="G65" i="11"/>
  <c r="C91" i="8"/>
  <c r="C92" i="8"/>
  <c r="C65" i="8"/>
  <c r="C60" i="8"/>
  <c r="C70" i="8"/>
  <c r="C76" i="8"/>
  <c r="C57" i="8"/>
  <c r="C58" i="8"/>
  <c r="C80" i="8"/>
  <c r="C64" i="8"/>
  <c r="C88" i="8"/>
  <c r="C89" i="8"/>
  <c r="C62" i="8"/>
  <c r="C90" i="8"/>
  <c r="C74" i="8"/>
  <c r="C53" i="8"/>
  <c r="C96" i="8"/>
  <c r="C66" i="8"/>
  <c r="C77" i="8"/>
  <c r="C68" i="8"/>
  <c r="C56" i="8"/>
  <c r="C63" i="8"/>
  <c r="C59" i="8"/>
  <c r="C71" i="8"/>
  <c r="C102" i="8"/>
  <c r="C72" i="8"/>
  <c r="C87" i="8"/>
  <c r="C55" i="8"/>
  <c r="C73" i="8"/>
  <c r="C54" i="8"/>
  <c r="C67" i="8"/>
  <c r="C69" i="8"/>
  <c r="C98" i="8"/>
  <c r="C79" i="8"/>
  <c r="C81" i="8"/>
  <c r="G49" i="9"/>
  <c r="G96" i="9"/>
  <c r="G89" i="9"/>
  <c r="G50" i="9"/>
  <c r="G110" i="9"/>
  <c r="G36" i="9"/>
  <c r="G80" i="9"/>
  <c r="G105" i="9"/>
  <c r="G56" i="9"/>
  <c r="G88" i="9"/>
  <c r="G51" i="9"/>
  <c r="G113" i="9"/>
  <c r="G94" i="9"/>
  <c r="G77" i="9"/>
  <c r="G45" i="9"/>
  <c r="G69" i="9"/>
  <c r="G97" i="9"/>
  <c r="G59" i="9"/>
  <c r="G75" i="9"/>
  <c r="G44" i="9"/>
  <c r="G63" i="9"/>
  <c r="G35" i="9"/>
  <c r="G112" i="9"/>
  <c r="G48" i="9"/>
  <c r="G98" i="9"/>
  <c r="G72" i="9"/>
  <c r="G52" i="9"/>
  <c r="G87" i="9"/>
  <c r="G57" i="9"/>
  <c r="G65" i="9"/>
  <c r="G54" i="9"/>
  <c r="G42" i="9"/>
  <c r="G78" i="9"/>
  <c r="G39" i="9"/>
  <c r="G64" i="9"/>
  <c r="G47" i="9"/>
  <c r="G73" i="9"/>
  <c r="G67" i="9"/>
  <c r="G60" i="9"/>
  <c r="G83" i="9"/>
  <c r="G66" i="9"/>
  <c r="G79" i="9"/>
  <c r="G82" i="9"/>
  <c r="G40" i="9"/>
  <c r="G32" i="9"/>
  <c r="G37" i="9"/>
  <c r="G68" i="9"/>
  <c r="G85" i="9"/>
  <c r="G43" i="9"/>
  <c r="G41" i="9"/>
  <c r="G34" i="9"/>
  <c r="G84" i="9"/>
  <c r="G30" i="9"/>
  <c r="G31" i="9"/>
  <c r="G62" i="9"/>
  <c r="G103" i="9"/>
  <c r="G101" i="9"/>
  <c r="G74" i="9"/>
  <c r="G58" i="9"/>
  <c r="G95" i="9"/>
  <c r="G99" i="9"/>
  <c r="G90" i="9"/>
  <c r="G53" i="9"/>
  <c r="G108" i="9"/>
  <c r="G106" i="9"/>
  <c r="G107" i="9"/>
  <c r="D69" i="11"/>
  <c r="D71" i="11" s="1"/>
  <c r="K67" i="11"/>
  <c r="C100" i="8"/>
  <c r="G109" i="9"/>
  <c r="G35" i="62"/>
  <c r="G34" i="62"/>
  <c r="G55" i="12"/>
  <c r="G54" i="12"/>
  <c r="G63" i="12"/>
  <c r="G58" i="12"/>
  <c r="G50" i="12"/>
  <c r="G72" i="12"/>
  <c r="G82" i="12"/>
  <c r="G73" i="12"/>
  <c r="G88" i="12"/>
  <c r="G53" i="12"/>
  <c r="G59" i="12"/>
  <c r="G64" i="12"/>
  <c r="G65" i="12"/>
  <c r="G74" i="12"/>
  <c r="G52" i="12"/>
  <c r="G62" i="12"/>
  <c r="G71" i="12"/>
  <c r="G68" i="12"/>
  <c r="G51" i="12"/>
  <c r="G83" i="12"/>
  <c r="G84" i="12"/>
  <c r="G60" i="12"/>
  <c r="G61" i="12"/>
  <c r="G56" i="12"/>
  <c r="G70" i="12"/>
  <c r="G69" i="12"/>
  <c r="G86" i="12"/>
  <c r="G66" i="12"/>
  <c r="G75" i="12"/>
  <c r="G76" i="12"/>
  <c r="D115" i="9"/>
  <c r="B113" i="9"/>
  <c r="B115" i="9" s="1"/>
  <c r="L111" i="9"/>
  <c r="H110" i="9" l="1"/>
  <c r="H34" i="8"/>
  <c r="G23" i="11"/>
  <c r="B75" i="62"/>
  <c r="K37" i="8"/>
  <c r="C23" i="11"/>
  <c r="D55" i="62"/>
  <c r="D56" i="62" s="1"/>
  <c r="H27" i="12"/>
  <c r="H25" i="12"/>
  <c r="H19" i="12"/>
  <c r="H23" i="12"/>
  <c r="H26" i="12"/>
  <c r="E48" i="62"/>
  <c r="H48" i="62" s="1"/>
  <c r="I48" i="62"/>
  <c r="G48" i="62"/>
  <c r="F100" i="8"/>
  <c r="F83" i="8"/>
  <c r="I25" i="62"/>
  <c r="E25" i="62"/>
  <c r="F25" i="62"/>
  <c r="D100" i="8"/>
  <c r="D102" i="8" s="1"/>
  <c r="D83" i="8"/>
  <c r="F50" i="62"/>
  <c r="F49" i="62"/>
  <c r="G27" i="62"/>
  <c r="K69" i="11"/>
  <c r="I92" i="9"/>
  <c r="N111" i="9"/>
  <c r="G24" i="62"/>
  <c r="G37" i="62"/>
  <c r="G23" i="62"/>
  <c r="C66" i="9"/>
  <c r="C113" i="9"/>
  <c r="C72" i="9"/>
  <c r="C50" i="9"/>
  <c r="C47" i="9"/>
  <c r="C35" i="9"/>
  <c r="C44" i="9"/>
  <c r="C75" i="9"/>
  <c r="C108" i="9"/>
  <c r="C89" i="9"/>
  <c r="C106" i="9"/>
  <c r="C99" i="9"/>
  <c r="C82" i="9"/>
  <c r="C63" i="9"/>
  <c r="C85" i="9"/>
  <c r="C52" i="9"/>
  <c r="C80" i="9"/>
  <c r="C49" i="9"/>
  <c r="C58" i="9"/>
  <c r="C79" i="9"/>
  <c r="C59" i="9"/>
  <c r="C48" i="9"/>
  <c r="C74" i="9"/>
  <c r="C77" i="9"/>
  <c r="C84" i="9"/>
  <c r="C43" i="9"/>
  <c r="C90" i="9"/>
  <c r="C83" i="9"/>
  <c r="C96" i="9"/>
  <c r="C34" i="9"/>
  <c r="C87" i="9"/>
  <c r="C32" i="9"/>
  <c r="C30" i="9"/>
  <c r="C110" i="9"/>
  <c r="C62" i="9"/>
  <c r="C64" i="9"/>
  <c r="C73" i="9"/>
  <c r="C97" i="9"/>
  <c r="C78" i="9"/>
  <c r="C42" i="9"/>
  <c r="C65" i="9"/>
  <c r="C105" i="9"/>
  <c r="C39" i="9"/>
  <c r="C68" i="9"/>
  <c r="C57" i="9"/>
  <c r="C53" i="9"/>
  <c r="C36" i="9"/>
  <c r="C101" i="9"/>
  <c r="C95" i="9"/>
  <c r="C31" i="9"/>
  <c r="C41" i="9"/>
  <c r="C37" i="9"/>
  <c r="C98" i="9"/>
  <c r="C60" i="9"/>
  <c r="C40" i="9"/>
  <c r="C88" i="9"/>
  <c r="C56" i="9"/>
  <c r="C94" i="9"/>
  <c r="C51" i="9"/>
  <c r="C103" i="9"/>
  <c r="L113" i="9"/>
  <c r="C45" i="9"/>
  <c r="C67" i="9"/>
  <c r="C54" i="9"/>
  <c r="C107" i="9"/>
  <c r="C69" i="9"/>
  <c r="C109" i="9"/>
  <c r="K113" i="9"/>
  <c r="D28" i="62" l="1"/>
  <c r="H35" i="8"/>
  <c r="N34" i="8"/>
  <c r="L34" i="8"/>
  <c r="J34" i="8"/>
  <c r="M34" i="8" s="1"/>
  <c r="H38" i="11"/>
  <c r="H21" i="9"/>
  <c r="N110" i="9"/>
  <c r="J110" i="9"/>
  <c r="H72" i="11"/>
  <c r="G56" i="62"/>
  <c r="E56" i="62"/>
  <c r="J26" i="12"/>
  <c r="N26" i="12"/>
  <c r="N27" i="12"/>
  <c r="J27" i="12"/>
  <c r="D68" i="62"/>
  <c r="N23" i="12"/>
  <c r="J23" i="12"/>
  <c r="D66" i="62"/>
  <c r="G66" i="62" s="1"/>
  <c r="J19" i="12"/>
  <c r="M19" i="12" s="1"/>
  <c r="N19" i="12"/>
  <c r="L19" i="12"/>
  <c r="N25" i="12"/>
  <c r="L25" i="12"/>
  <c r="J25" i="12"/>
  <c r="M25" i="12" s="1"/>
  <c r="E55" i="62"/>
  <c r="G55" i="62"/>
  <c r="H24" i="12"/>
  <c r="H14" i="10"/>
  <c r="H29" i="12"/>
  <c r="D70" i="62" s="1"/>
  <c r="H22" i="12"/>
  <c r="L14" i="65"/>
  <c r="J14" i="65"/>
  <c r="H16" i="65"/>
  <c r="G36" i="62"/>
  <c r="F51" i="62"/>
  <c r="C7" i="67"/>
  <c r="H25" i="62"/>
  <c r="G22" i="62"/>
  <c r="F102" i="8"/>
  <c r="I80" i="9"/>
  <c r="I66" i="9"/>
  <c r="I113" i="9"/>
  <c r="I101" i="9"/>
  <c r="I90" i="9"/>
  <c r="I37" i="9"/>
  <c r="I54" i="9"/>
  <c r="N113" i="9"/>
  <c r="E27" i="62"/>
  <c r="H27" i="62" s="1"/>
  <c r="F27" i="62"/>
  <c r="H20" i="11" l="1"/>
  <c r="H39" i="11"/>
  <c r="H66" i="11" s="1"/>
  <c r="J38" i="11"/>
  <c r="J39" i="11" s="1"/>
  <c r="J66" i="11" s="1"/>
  <c r="H37" i="8"/>
  <c r="L35" i="8"/>
  <c r="N35" i="8"/>
  <c r="J35" i="8"/>
  <c r="M35" i="8" s="1"/>
  <c r="M110" i="9"/>
  <c r="J111" i="9"/>
  <c r="N21" i="9"/>
  <c r="D39" i="62"/>
  <c r="H23" i="9"/>
  <c r="I21" i="9" s="1"/>
  <c r="J21" i="9"/>
  <c r="M21" i="9" s="1"/>
  <c r="L21" i="9"/>
  <c r="G28" i="62"/>
  <c r="D29" i="62"/>
  <c r="G29" i="62" s="1"/>
  <c r="I28" i="62"/>
  <c r="D43" i="62"/>
  <c r="L14" i="10"/>
  <c r="G70" i="62"/>
  <c r="I70" i="62"/>
  <c r="J16" i="65"/>
  <c r="M14" i="65"/>
  <c r="N29" i="12"/>
  <c r="J29" i="12"/>
  <c r="H30" i="12"/>
  <c r="D67" i="62"/>
  <c r="G67" i="62" s="1"/>
  <c r="J22" i="12"/>
  <c r="M22" i="12" s="1"/>
  <c r="N22" i="12"/>
  <c r="L22" i="12"/>
  <c r="D69" i="62"/>
  <c r="I69" i="62" s="1"/>
  <c r="J24" i="12"/>
  <c r="N24" i="12"/>
  <c r="G83" i="8"/>
  <c r="G100" i="8"/>
  <c r="G87" i="8"/>
  <c r="G90" i="8"/>
  <c r="G88" i="8"/>
  <c r="G62" i="8"/>
  <c r="G102" i="8"/>
  <c r="G55" i="8"/>
  <c r="G70" i="8"/>
  <c r="G60" i="8"/>
  <c r="G59" i="8"/>
  <c r="G76" i="8"/>
  <c r="G72" i="8"/>
  <c r="G89" i="8"/>
  <c r="G71" i="8"/>
  <c r="G65" i="8"/>
  <c r="G53" i="8"/>
  <c r="G97" i="8"/>
  <c r="G64" i="8"/>
  <c r="G79" i="8"/>
  <c r="G63" i="8"/>
  <c r="G67" i="8"/>
  <c r="G56" i="8"/>
  <c r="G92" i="8"/>
  <c r="G54" i="8"/>
  <c r="G91" i="8"/>
  <c r="G73" i="8"/>
  <c r="G66" i="8"/>
  <c r="G74" i="8"/>
  <c r="G57" i="8"/>
  <c r="G96" i="8"/>
  <c r="G98" i="8"/>
  <c r="G68" i="8"/>
  <c r="G82" i="8"/>
  <c r="G77" i="8"/>
  <c r="G58" i="8"/>
  <c r="G80" i="8"/>
  <c r="G69" i="8"/>
  <c r="G101" i="8"/>
  <c r="G81" i="8"/>
  <c r="E28" i="62"/>
  <c r="H28" i="62" s="1"/>
  <c r="G32" i="62"/>
  <c r="G31" i="62"/>
  <c r="I71" i="62"/>
  <c r="E71" i="62"/>
  <c r="I39" i="62" l="1"/>
  <c r="D40" i="62"/>
  <c r="G40" i="62" s="1"/>
  <c r="G39" i="62"/>
  <c r="E39" i="62"/>
  <c r="H39" i="62" s="1"/>
  <c r="M111" i="9"/>
  <c r="J113" i="9"/>
  <c r="M113" i="9" s="1"/>
  <c r="H39" i="8"/>
  <c r="I37" i="8" s="1"/>
  <c r="L37" i="8"/>
  <c r="N37" i="8"/>
  <c r="J37" i="8"/>
  <c r="M37" i="8" s="1"/>
  <c r="H24" i="9"/>
  <c r="I15" i="9"/>
  <c r="I16" i="9"/>
  <c r="I13" i="9"/>
  <c r="I14" i="9"/>
  <c r="I20" i="9"/>
  <c r="I18" i="9"/>
  <c r="I19" i="9"/>
  <c r="I17" i="9"/>
  <c r="L23" i="9"/>
  <c r="H21" i="11"/>
  <c r="D52" i="62"/>
  <c r="N20" i="11"/>
  <c r="J20" i="11"/>
  <c r="L20" i="11"/>
  <c r="D72" i="62"/>
  <c r="N30" i="12"/>
  <c r="J30" i="12"/>
  <c r="M30" i="12" s="1"/>
  <c r="L30" i="12"/>
  <c r="B9" i="56"/>
  <c r="E9" i="56" s="1"/>
  <c r="H13" i="10"/>
  <c r="I72" i="62" l="1"/>
  <c r="I52" i="62"/>
  <c r="G52" i="62"/>
  <c r="D53" i="62"/>
  <c r="E52" i="62"/>
  <c r="H52" i="62" s="1"/>
  <c r="I23" i="9"/>
  <c r="M20" i="11"/>
  <c r="J21" i="11"/>
  <c r="H23" i="11"/>
  <c r="L21" i="11"/>
  <c r="N21" i="11"/>
  <c r="H40" i="8"/>
  <c r="I29" i="8"/>
  <c r="I23" i="8"/>
  <c r="I25" i="8"/>
  <c r="I14" i="8"/>
  <c r="I26" i="8"/>
  <c r="I19" i="8"/>
  <c r="I38" i="8"/>
  <c r="I33" i="8"/>
  <c r="I32" i="8"/>
  <c r="I17" i="8"/>
  <c r="I13" i="8"/>
  <c r="I18" i="8"/>
  <c r="I15" i="8"/>
  <c r="I34" i="8"/>
  <c r="I35" i="8"/>
  <c r="D42" i="62"/>
  <c r="D44" i="62" s="1"/>
  <c r="L13" i="10"/>
  <c r="H15" i="10"/>
  <c r="D9" i="56"/>
  <c r="H24" i="11" l="1"/>
  <c r="I13" i="11"/>
  <c r="I16" i="11"/>
  <c r="I12" i="11"/>
  <c r="I19" i="11"/>
  <c r="I14" i="11"/>
  <c r="I15" i="11"/>
  <c r="N23" i="11"/>
  <c r="L23" i="11"/>
  <c r="I20" i="11"/>
  <c r="M21" i="11"/>
  <c r="J23" i="11"/>
  <c r="M23" i="11" s="1"/>
  <c r="G53" i="62"/>
  <c r="I53" i="62"/>
  <c r="E53" i="62"/>
  <c r="H53" i="62" s="1"/>
  <c r="L15" i="10"/>
  <c r="I14" i="10"/>
  <c r="I13" i="10"/>
  <c r="G44" i="62"/>
  <c r="D57" i="62"/>
  <c r="L52" i="12"/>
  <c r="N52" i="12"/>
  <c r="J52" i="12"/>
  <c r="M52" i="12" s="1"/>
  <c r="J53" i="12"/>
  <c r="M53" i="12" s="1"/>
  <c r="L53" i="12"/>
  <c r="N53" i="12"/>
  <c r="N75" i="12"/>
  <c r="J75" i="12"/>
  <c r="L71" i="12"/>
  <c r="J71" i="12"/>
  <c r="M71" i="12" s="1"/>
  <c r="N71" i="12"/>
  <c r="J68" i="12"/>
  <c r="L68" i="12"/>
  <c r="N68" i="12"/>
  <c r="H76" i="12"/>
  <c r="H56" i="12"/>
  <c r="H18" i="12" s="1"/>
  <c r="N54" i="12"/>
  <c r="J54" i="12"/>
  <c r="I21" i="11" l="1"/>
  <c r="I17" i="11"/>
  <c r="I15" i="10"/>
  <c r="G57" i="62"/>
  <c r="D73" i="62"/>
  <c r="G73" i="62" s="1"/>
  <c r="N18" i="12"/>
  <c r="J18" i="12"/>
  <c r="N76" i="12"/>
  <c r="N74" i="12"/>
  <c r="J74" i="12"/>
  <c r="N69" i="12"/>
  <c r="J69" i="12"/>
  <c r="J30" i="10"/>
  <c r="M30" i="10" s="1"/>
  <c r="L30" i="10"/>
  <c r="N30" i="10"/>
  <c r="J72" i="12"/>
  <c r="N72" i="12"/>
  <c r="J73" i="12"/>
  <c r="N73" i="12"/>
  <c r="N56" i="12"/>
  <c r="M68" i="12"/>
  <c r="J70" i="12"/>
  <c r="N70" i="12"/>
  <c r="J55" i="12"/>
  <c r="J56" i="12" s="1"/>
  <c r="N55" i="12"/>
  <c r="L51" i="12"/>
  <c r="J51" i="12"/>
  <c r="M51" i="12" s="1"/>
  <c r="N51" i="12"/>
  <c r="I23" i="11" l="1"/>
  <c r="J76" i="12"/>
  <c r="H66" i="12"/>
  <c r="H20" i="12" s="1"/>
  <c r="N65" i="12"/>
  <c r="J65" i="12"/>
  <c r="M65" i="12" s="1"/>
  <c r="L65" i="12"/>
  <c r="N20" i="12" l="1"/>
  <c r="L20" i="12"/>
  <c r="J20" i="12"/>
  <c r="M20" i="12" s="1"/>
  <c r="H31" i="12"/>
  <c r="L25" i="10"/>
  <c r="J25" i="10"/>
  <c r="H31" i="10"/>
  <c r="N25" i="10"/>
  <c r="N66" i="12"/>
  <c r="H77" i="12"/>
  <c r="L66" i="12"/>
  <c r="L50" i="12"/>
  <c r="N50" i="12"/>
  <c r="J50" i="12"/>
  <c r="L31" i="12" l="1"/>
  <c r="N31" i="12"/>
  <c r="J31" i="12"/>
  <c r="M31" i="12" s="1"/>
  <c r="H40" i="12"/>
  <c r="H41" i="12" s="1"/>
  <c r="M50" i="12"/>
  <c r="J66" i="12"/>
  <c r="H88" i="12"/>
  <c r="N77" i="12"/>
  <c r="L31" i="10"/>
  <c r="N31" i="10"/>
  <c r="H33" i="10"/>
  <c r="J31" i="10"/>
  <c r="M25" i="10"/>
  <c r="E69" i="62"/>
  <c r="I31" i="12" l="1"/>
  <c r="I35" i="12"/>
  <c r="I34" i="12"/>
  <c r="I36" i="12"/>
  <c r="N40" i="12"/>
  <c r="I40" i="12"/>
  <c r="I12" i="12"/>
  <c r="I37" i="12"/>
  <c r="I14" i="12"/>
  <c r="I13" i="12"/>
  <c r="J40" i="12"/>
  <c r="I16" i="12"/>
  <c r="I15" i="12"/>
  <c r="I18" i="12"/>
  <c r="I28" i="12"/>
  <c r="I17" i="12"/>
  <c r="I38" i="12"/>
  <c r="I27" i="12"/>
  <c r="I23" i="12"/>
  <c r="I25" i="12"/>
  <c r="I26" i="12"/>
  <c r="I19" i="12"/>
  <c r="I22" i="12"/>
  <c r="I24" i="12"/>
  <c r="I29" i="12"/>
  <c r="I30" i="12"/>
  <c r="I20" i="12"/>
  <c r="I31" i="10"/>
  <c r="I77" i="12"/>
  <c r="I64" i="62"/>
  <c r="E64" i="62"/>
  <c r="G49" i="62"/>
  <c r="I49" i="62"/>
  <c r="E49" i="62"/>
  <c r="H49" i="62" s="1"/>
  <c r="I82" i="12"/>
  <c r="I86" i="12"/>
  <c r="I59" i="12"/>
  <c r="I61" i="12"/>
  <c r="I63" i="12"/>
  <c r="I88" i="12"/>
  <c r="I60" i="12"/>
  <c r="I83" i="12"/>
  <c r="I62" i="12"/>
  <c r="I84" i="12"/>
  <c r="I58" i="12"/>
  <c r="N88" i="12"/>
  <c r="I53" i="12"/>
  <c r="I75" i="12"/>
  <c r="I54" i="12"/>
  <c r="I52" i="12"/>
  <c r="I71" i="12"/>
  <c r="I68" i="12"/>
  <c r="I73" i="12"/>
  <c r="I56" i="12"/>
  <c r="I70" i="12"/>
  <c r="I55" i="12"/>
  <c r="I76" i="12"/>
  <c r="I74" i="12"/>
  <c r="I69" i="12"/>
  <c r="I72" i="12"/>
  <c r="I64" i="12"/>
  <c r="I51" i="12"/>
  <c r="I65" i="12"/>
  <c r="I66" i="12"/>
  <c r="I50" i="12"/>
  <c r="J33" i="10"/>
  <c r="M33" i="10" s="1"/>
  <c r="M31" i="10"/>
  <c r="I28" i="10"/>
  <c r="I29" i="10"/>
  <c r="N33" i="10"/>
  <c r="I33" i="10"/>
  <c r="L33" i="10"/>
  <c r="I27" i="10"/>
  <c r="I30" i="10"/>
  <c r="I25" i="10"/>
  <c r="I63" i="62"/>
  <c r="E63" i="62"/>
  <c r="H63" i="62" s="1"/>
  <c r="J77" i="12"/>
  <c r="J88" i="12" s="1"/>
  <c r="M66" i="12"/>
  <c r="E70" i="62"/>
  <c r="H70" i="62" s="1"/>
  <c r="I62" i="62"/>
  <c r="E62" i="62"/>
  <c r="H62" i="62" s="1"/>
  <c r="J34" i="10" l="1"/>
  <c r="E50" i="62"/>
  <c r="H50" i="62" s="1"/>
  <c r="G50" i="62"/>
  <c r="I50" i="62"/>
  <c r="G51" i="62"/>
  <c r="E51" i="62"/>
  <c r="I51" i="62"/>
  <c r="I68" i="62"/>
  <c r="E68" i="62"/>
  <c r="G43" i="62"/>
  <c r="I65" i="62"/>
  <c r="E65" i="62"/>
  <c r="H65" i="62" s="1"/>
  <c r="E66" i="62"/>
  <c r="H66" i="62" s="1"/>
  <c r="I66" i="62"/>
  <c r="I61" i="62"/>
  <c r="E61" i="62"/>
  <c r="H61" i="62" s="1"/>
  <c r="I67" i="62"/>
  <c r="E67" i="62"/>
  <c r="H67" i="62" s="1"/>
  <c r="H51" i="62" l="1"/>
  <c r="C13" i="67"/>
  <c r="G42" i="62" l="1"/>
  <c r="E60" i="62"/>
  <c r="I60" i="62"/>
  <c r="E72" i="62" l="1"/>
  <c r="H60" i="62"/>
  <c r="E47" i="62"/>
  <c r="G47" i="62"/>
  <c r="I47" i="62"/>
  <c r="D19" i="62"/>
  <c r="D75" i="62" l="1"/>
  <c r="D77" i="62" s="1"/>
  <c r="G19" i="62"/>
  <c r="H47" i="62"/>
  <c r="C12" i="67"/>
  <c r="I22" i="8" l="1"/>
  <c r="N22" i="8"/>
  <c r="J22" i="8"/>
  <c r="M22" i="8" s="1"/>
  <c r="L22" i="8"/>
  <c r="I27" i="8"/>
  <c r="N27" i="8"/>
  <c r="I21" i="8" l="1"/>
  <c r="L21" i="8"/>
  <c r="B85" i="12" l="1"/>
  <c r="B37" i="12" l="1"/>
  <c r="B86" i="12"/>
  <c r="B38" i="12" l="1"/>
  <c r="B71" i="62" s="1"/>
  <c r="L86" i="12"/>
  <c r="K86" i="12"/>
  <c r="M86" i="12"/>
  <c r="B88" i="12"/>
  <c r="C86" i="12" s="1"/>
  <c r="L37" i="12"/>
  <c r="K37" i="12"/>
  <c r="M37" i="12"/>
  <c r="G71" i="62" l="1"/>
  <c r="F71" i="62"/>
  <c r="H71" i="62"/>
  <c r="C77" i="12"/>
  <c r="C62" i="12"/>
  <c r="C61" i="12"/>
  <c r="C54" i="12"/>
  <c r="C51" i="12"/>
  <c r="C52" i="12"/>
  <c r="C59" i="12"/>
  <c r="C68" i="12"/>
  <c r="C64" i="12"/>
  <c r="C50" i="12"/>
  <c r="C65" i="12"/>
  <c r="K88" i="12"/>
  <c r="C58" i="12"/>
  <c r="C66" i="12"/>
  <c r="C55" i="12"/>
  <c r="C88" i="12"/>
  <c r="C60" i="12"/>
  <c r="C53" i="12"/>
  <c r="C76" i="12"/>
  <c r="C63" i="12"/>
  <c r="C83" i="12"/>
  <c r="C71" i="12"/>
  <c r="C84" i="12"/>
  <c r="C56" i="12"/>
  <c r="C82" i="12"/>
  <c r="L88" i="12"/>
  <c r="M88" i="12"/>
  <c r="B40" i="12"/>
  <c r="B41" i="12" s="1"/>
  <c r="M38" i="12"/>
  <c r="L38" i="12"/>
  <c r="K38" i="12"/>
  <c r="C38" i="12" l="1"/>
  <c r="L40" i="12"/>
  <c r="K40" i="12"/>
  <c r="C36" i="12"/>
  <c r="C34" i="12"/>
  <c r="C30" i="12"/>
  <c r="C28" i="12"/>
  <c r="C26" i="12"/>
  <c r="C24" i="12"/>
  <c r="C22" i="12"/>
  <c r="C19" i="12"/>
  <c r="C17" i="12"/>
  <c r="C15" i="12"/>
  <c r="C13" i="12"/>
  <c r="M40" i="12"/>
  <c r="C40" i="12"/>
  <c r="C35" i="12"/>
  <c r="C31" i="12"/>
  <c r="C29" i="12"/>
  <c r="C27" i="12"/>
  <c r="C25" i="12"/>
  <c r="C23" i="12"/>
  <c r="C20" i="12"/>
  <c r="C18" i="12"/>
  <c r="C16" i="12"/>
  <c r="C14" i="12"/>
  <c r="C12" i="12"/>
  <c r="C37" i="12"/>
  <c r="G75" i="62"/>
  <c r="D84" i="62"/>
  <c r="B16" i="56" l="1"/>
  <c r="E16" i="56" s="1"/>
  <c r="D16" i="56" l="1"/>
  <c r="F18" i="8" l="1"/>
  <c r="N18" i="8" l="1"/>
  <c r="K18" i="8"/>
  <c r="J18" i="8"/>
  <c r="M18" i="8" s="1"/>
  <c r="E19" i="8"/>
  <c r="F17" i="8"/>
  <c r="E23" i="8" l="1"/>
  <c r="F21" i="8"/>
  <c r="N17" i="8"/>
  <c r="J17" i="8"/>
  <c r="M17" i="8" s="1"/>
  <c r="K17" i="8"/>
  <c r="F19" i="8"/>
  <c r="N19" i="8" l="1"/>
  <c r="J19" i="8"/>
  <c r="C23" i="62"/>
  <c r="K19" i="8"/>
  <c r="F23" i="8"/>
  <c r="K21" i="8"/>
  <c r="J21" i="8"/>
  <c r="M21" i="8" s="1"/>
  <c r="N21" i="8"/>
  <c r="C24" i="62" l="1"/>
  <c r="K23" i="8"/>
  <c r="J23" i="8"/>
  <c r="M23" i="8" s="1"/>
  <c r="N23" i="8"/>
  <c r="M19" i="8"/>
  <c r="F23" i="62"/>
  <c r="I23" i="62"/>
  <c r="E23" i="62"/>
  <c r="H23" i="62" s="1"/>
  <c r="F24" i="62" l="1"/>
  <c r="I24" i="62"/>
  <c r="E24" i="62"/>
  <c r="H24" i="62" s="1"/>
  <c r="F13" i="8" l="1"/>
  <c r="E15" i="8"/>
  <c r="E29" i="8" s="1"/>
  <c r="E38" i="8" s="1"/>
  <c r="E39" i="8" s="1"/>
  <c r="B5" i="75" s="1"/>
  <c r="C5" i="75" l="1"/>
  <c r="K13" i="8"/>
  <c r="J13" i="8"/>
  <c r="M13" i="8" s="1"/>
  <c r="N13" i="8"/>
  <c r="F15" i="8"/>
  <c r="C22" i="62" l="1"/>
  <c r="C29" i="62" s="1"/>
  <c r="N15" i="8"/>
  <c r="K15" i="8"/>
  <c r="J15" i="8"/>
  <c r="F29" i="8"/>
  <c r="F29" i="62" l="1"/>
  <c r="E29" i="62"/>
  <c r="I29" i="62"/>
  <c r="N29" i="8"/>
  <c r="K29" i="8"/>
  <c r="F38" i="8"/>
  <c r="M15" i="8"/>
  <c r="J29" i="8"/>
  <c r="M29" i="8" s="1"/>
  <c r="E22" i="62"/>
  <c r="H22" i="62" s="1"/>
  <c r="F22" i="62"/>
  <c r="I22" i="62"/>
  <c r="H29" i="62" l="1"/>
  <c r="F39" i="8"/>
  <c r="F40" i="8" s="1"/>
  <c r="K38" i="8"/>
  <c r="J38" i="8"/>
  <c r="M38" i="8" s="1"/>
  <c r="N38" i="8"/>
  <c r="G29" i="8" l="1"/>
  <c r="G27" i="8"/>
  <c r="G26" i="8"/>
  <c r="G14" i="8"/>
  <c r="G33" i="8"/>
  <c r="G25" i="8"/>
  <c r="G34" i="8"/>
  <c r="G32" i="8"/>
  <c r="G35" i="8"/>
  <c r="G22" i="8"/>
  <c r="G18" i="8"/>
  <c r="G17" i="8"/>
  <c r="G21" i="8"/>
  <c r="G19" i="8"/>
  <c r="G23" i="8"/>
  <c r="G13" i="8"/>
  <c r="G15" i="8"/>
  <c r="F15" i="9"/>
  <c r="G39" i="8" l="1"/>
  <c r="C33" i="62"/>
  <c r="N15" i="9"/>
  <c r="K15" i="9"/>
  <c r="J15" i="9"/>
  <c r="M15" i="9" s="1"/>
  <c r="F33" i="62" l="1"/>
  <c r="I33" i="62"/>
  <c r="E33" i="62"/>
  <c r="H33" i="62" s="1"/>
  <c r="E14" i="9" l="1"/>
  <c r="F14" i="9" s="1"/>
  <c r="E16" i="9"/>
  <c r="F16" i="9" s="1"/>
  <c r="E18" i="9"/>
  <c r="F18" i="9" s="1"/>
  <c r="E20" i="9"/>
  <c r="F20" i="9" s="1"/>
  <c r="E17" i="9"/>
  <c r="F17" i="9" s="1"/>
  <c r="E19" i="9"/>
  <c r="F19" i="9" s="1"/>
  <c r="N20" i="9" l="1"/>
  <c r="J20" i="9"/>
  <c r="M20" i="9" s="1"/>
  <c r="C38" i="62"/>
  <c r="K20" i="9"/>
  <c r="J16" i="9"/>
  <c r="M16" i="9" s="1"/>
  <c r="N16" i="9"/>
  <c r="C34" i="62"/>
  <c r="K16" i="9"/>
  <c r="N19" i="9"/>
  <c r="J19" i="9"/>
  <c r="M19" i="9" s="1"/>
  <c r="C37" i="62"/>
  <c r="K19" i="9"/>
  <c r="N17" i="9"/>
  <c r="K17" i="9"/>
  <c r="C35" i="62"/>
  <c r="J17" i="9"/>
  <c r="M17" i="9" s="1"/>
  <c r="N18" i="9"/>
  <c r="K18" i="9"/>
  <c r="C36" i="62"/>
  <c r="J18" i="9"/>
  <c r="M18" i="9" s="1"/>
  <c r="N14" i="9"/>
  <c r="K14" i="9"/>
  <c r="J14" i="9"/>
  <c r="M14" i="9" s="1"/>
  <c r="C32" i="62"/>
  <c r="E35" i="62" l="1"/>
  <c r="H35" i="62" s="1"/>
  <c r="I35" i="62"/>
  <c r="F35" i="62"/>
  <c r="E34" i="62"/>
  <c r="H34" i="62" s="1"/>
  <c r="F34" i="62"/>
  <c r="I34" i="62"/>
  <c r="F32" i="62"/>
  <c r="I32" i="62"/>
  <c r="E32" i="62"/>
  <c r="H32" i="62" s="1"/>
  <c r="F36" i="62"/>
  <c r="E36" i="62"/>
  <c r="I36" i="62"/>
  <c r="E13" i="9"/>
  <c r="E37" i="62"/>
  <c r="F37" i="62"/>
  <c r="I37" i="62"/>
  <c r="I38" i="62"/>
  <c r="F38" i="62"/>
  <c r="E38" i="62"/>
  <c r="H38" i="62" s="1"/>
  <c r="H37" i="62" l="1"/>
  <c r="C9" i="67"/>
  <c r="E23" i="9"/>
  <c r="B6" i="75" s="1"/>
  <c r="F13" i="9"/>
  <c r="C8" i="67"/>
  <c r="H36" i="62"/>
  <c r="C31" i="62" l="1"/>
  <c r="F23" i="9"/>
  <c r="J13" i="9"/>
  <c r="K13" i="9"/>
  <c r="N13" i="9"/>
  <c r="G13" i="9"/>
  <c r="C6" i="75"/>
  <c r="F24" i="9" l="1"/>
  <c r="N23" i="9"/>
  <c r="K23" i="9"/>
  <c r="G21" i="9"/>
  <c r="G15" i="9"/>
  <c r="G20" i="9"/>
  <c r="G19" i="9"/>
  <c r="G18" i="9"/>
  <c r="G16" i="9"/>
  <c r="G17" i="9"/>
  <c r="G14" i="9"/>
  <c r="G23" i="9" s="1"/>
  <c r="M13" i="9"/>
  <c r="J23" i="9"/>
  <c r="M23" i="9" s="1"/>
  <c r="C40" i="62"/>
  <c r="I31" i="62"/>
  <c r="E31" i="62"/>
  <c r="H31" i="62" s="1"/>
  <c r="F31" i="62"/>
  <c r="F40" i="62" l="1"/>
  <c r="E40" i="62"/>
  <c r="I40" i="62"/>
  <c r="H40" i="62" l="1"/>
  <c r="E13" i="10" l="1"/>
  <c r="E15" i="10" l="1"/>
  <c r="B8" i="75" s="1"/>
  <c r="F13" i="10"/>
  <c r="E14" i="10"/>
  <c r="F14" i="10" s="1"/>
  <c r="C8" i="75" l="1"/>
  <c r="B10" i="75"/>
  <c r="B12" i="75" s="1"/>
  <c r="C43" i="62"/>
  <c r="K14" i="10"/>
  <c r="J14" i="10"/>
  <c r="M14" i="10" s="1"/>
  <c r="N14" i="10"/>
  <c r="C42" i="62"/>
  <c r="K13" i="10"/>
  <c r="F15" i="10"/>
  <c r="J13" i="10"/>
  <c r="N13" i="10"/>
  <c r="J15" i="10" l="1"/>
  <c r="M15" i="10" s="1"/>
  <c r="M13" i="10"/>
  <c r="F16" i="10"/>
  <c r="K15" i="10"/>
  <c r="N15" i="10"/>
  <c r="F42" i="62"/>
  <c r="E42" i="62"/>
  <c r="I42" i="62"/>
  <c r="G13" i="10"/>
  <c r="G14" i="10"/>
  <c r="C44" i="62"/>
  <c r="F43" i="62"/>
  <c r="I43" i="62"/>
  <c r="E43" i="62"/>
  <c r="H43" i="62" l="1"/>
  <c r="C11" i="67"/>
  <c r="F44" i="62"/>
  <c r="E44" i="62"/>
  <c r="I44" i="62"/>
  <c r="C57" i="62"/>
  <c r="G15" i="10"/>
  <c r="C10" i="67"/>
  <c r="C16" i="67" s="1"/>
  <c r="H42" i="62"/>
  <c r="C73" i="62" l="1"/>
  <c r="I57" i="62"/>
  <c r="F57" i="62"/>
  <c r="H44" i="62"/>
  <c r="E57" i="62"/>
  <c r="H57" i="62" l="1"/>
  <c r="E73" i="62"/>
  <c r="H73" i="62" s="1"/>
  <c r="I73" i="62"/>
  <c r="F73" i="62"/>
  <c r="C19" i="62" l="1"/>
  <c r="F19" i="62" l="1"/>
  <c r="E19" i="62"/>
  <c r="I19" i="62"/>
  <c r="C75" i="62"/>
  <c r="B11" i="56" l="1"/>
  <c r="C83" i="62"/>
  <c r="F75" i="62"/>
  <c r="I75" i="62"/>
  <c r="H19" i="62"/>
  <c r="E75" i="62"/>
  <c r="H75" i="62" s="1"/>
  <c r="C88" i="62" l="1"/>
  <c r="C85" i="62"/>
  <c r="B14" i="56"/>
  <c r="D11" i="56"/>
  <c r="B20" i="56"/>
  <c r="E11" i="56"/>
  <c r="D20" i="56" l="1"/>
  <c r="E20" i="56"/>
  <c r="D14" i="56"/>
  <c r="B18" i="56"/>
  <c r="D18" i="56" s="1"/>
  <c r="E14" i="56"/>
  <c r="D104" i="12" l="1"/>
  <c r="D105" i="12" s="1"/>
  <c r="H52" i="11"/>
  <c r="H46" i="11"/>
  <c r="H36" i="11"/>
  <c r="H83" i="11" l="1"/>
  <c r="H84" i="11" s="1"/>
  <c r="H34" i="10"/>
  <c r="H35" i="10" s="1"/>
  <c r="H16" i="10"/>
  <c r="H17" i="65"/>
  <c r="J46" i="11"/>
  <c r="N46" i="11"/>
  <c r="L46" i="11"/>
  <c r="H53" i="11"/>
  <c r="L52" i="11"/>
  <c r="N52" i="11"/>
  <c r="J52" i="11"/>
  <c r="M52" i="11" s="1"/>
  <c r="H63" i="11"/>
  <c r="J36" i="11"/>
  <c r="N36" i="11"/>
  <c r="L36" i="11"/>
  <c r="H65" i="11" l="1"/>
  <c r="N65" i="11"/>
  <c r="L65" i="11"/>
  <c r="H67" i="11"/>
  <c r="M46" i="11"/>
  <c r="J53" i="11"/>
  <c r="M53" i="11" s="1"/>
  <c r="M36" i="11"/>
  <c r="N63" i="11"/>
  <c r="L63" i="11"/>
  <c r="J63" i="11"/>
  <c r="M63" i="11" s="1"/>
  <c r="N53" i="11"/>
  <c r="L53" i="11"/>
  <c r="J65" i="11" l="1"/>
  <c r="J67" i="11" s="1"/>
  <c r="B87" i="62"/>
  <c r="B88" i="62" s="1"/>
  <c r="M65" i="11"/>
  <c r="N67" i="11"/>
  <c r="L67" i="11"/>
  <c r="H69" i="11"/>
  <c r="I67" i="11" s="1"/>
  <c r="I48" i="11" l="1"/>
  <c r="I56" i="11"/>
  <c r="I50" i="11"/>
  <c r="I55" i="11"/>
  <c r="N69" i="11"/>
  <c r="I43" i="11"/>
  <c r="I57" i="11"/>
  <c r="I60" i="11"/>
  <c r="I49" i="11"/>
  <c r="L69" i="11"/>
  <c r="I42" i="11"/>
  <c r="I51" i="11"/>
  <c r="I44" i="11"/>
  <c r="I69" i="11"/>
  <c r="I45" i="11"/>
  <c r="I61" i="11"/>
  <c r="I66" i="11"/>
  <c r="I59" i="11"/>
  <c r="I36" i="11"/>
  <c r="I46" i="11"/>
  <c r="I52" i="11"/>
  <c r="I53" i="11"/>
  <c r="I65" i="11"/>
  <c r="I63" i="11"/>
  <c r="J69" i="11"/>
  <c r="M69" i="11" s="1"/>
  <c r="M67" i="11"/>
  <c r="H114" i="9" l="1"/>
  <c r="H115" i="9" s="1"/>
  <c r="J70" i="11"/>
</calcChain>
</file>

<file path=xl/connections.xml><?xml version="1.0" encoding="utf-8"?>
<connections xmlns="http://schemas.openxmlformats.org/spreadsheetml/2006/main">
  <connection id="1" sourceFile="G:\ACR\ACR2011\PRC-ACR2011-NP-LR1\11 Alt.Format Report_NPLR1.xls" keepAlive="1" name="11 Alt.Format Report_NPLR1" type="5" refreshedVersion="0" new="1" background="1">
    <dbPr connection="Provider=Microsoft.ACE.OLEDB.12.0;Password=&quot;&quot;;User ID=Admin;Data Source=G:\ACR\ACR2011\PRC-ACR2011-NP-LR1\11 Alt.Format Report_NPLR1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'Alt#Format#STAND MAIL$'" commandType="3"/>
  </connection>
  <connection id="2" sourceFile="G:\ACR\ACR2011\PRC-ACR2011-NP-LR1\11 NonPublic CRA_NPLR1.xls" keepAlive="1" name="11 NonPublic CRA_NPLR1" type="5" refreshedVersion="0" new="1" background="1">
    <dbPr connection="Provider=Microsoft.ACE.OLEDB.12.0;Password=&quot;&quot;;User ID=Admin;Data Source=G:\ACR\ACR2011\PRC-ACR2011-NP-LR1\11 NonPublic CRA_NPLR1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ost1$" commandType="3"/>
  </connection>
  <connection id="3" sourceFile="G:\ACR\ACR2011\PRC-ACR2011-NP-LR1\11 NonPublic RPW_NPLR1.xls" keepAlive="1" name="11 NonPublic RPW_NPLR1" type="5" refreshedVersion="0" new="1" background="1">
    <dbPr connection="Provider=Microsoft.ACE.OLEDB.12.0;Password=&quot;&quot;;User ID=Admin;Data Source=G:\ACR\ACR2011\PRC-ACR2011-NP-LR1\11 NonPublic RPW_NPLR1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'PRC RPW$'" commandType="3"/>
  </connection>
</connections>
</file>

<file path=xl/sharedStrings.xml><?xml version="1.0" encoding="utf-8"?>
<sst xmlns="http://schemas.openxmlformats.org/spreadsheetml/2006/main" count="1016" uniqueCount="399">
  <si>
    <t>Institutional</t>
  </si>
  <si>
    <t>Cost</t>
  </si>
  <si>
    <t>Volume</t>
  </si>
  <si>
    <t>Revenue</t>
  </si>
  <si>
    <t>Share</t>
  </si>
  <si>
    <t>(000)</t>
  </si>
  <si>
    <t>($ 000)</t>
  </si>
  <si>
    <t>of Total</t>
  </si>
  <si>
    <t>COMPETITIVE MAIL</t>
  </si>
  <si>
    <t>Priority Mail</t>
  </si>
  <si>
    <t>Competitive International Mail</t>
  </si>
  <si>
    <t>Competitive Special Services</t>
  </si>
  <si>
    <t xml:space="preserve">Total </t>
  </si>
  <si>
    <t>Contribution to</t>
  </si>
  <si>
    <t>Attributable</t>
  </si>
  <si>
    <t>Rev./Pc.</t>
  </si>
  <si>
    <t>Cost/Pc.</t>
  </si>
  <si>
    <t>(Cents)</t>
  </si>
  <si>
    <t>Coverage</t>
  </si>
  <si>
    <t>Total Competitive Mail and Services</t>
  </si>
  <si>
    <t>MARKET DOMINANT MAIL</t>
  </si>
  <si>
    <t>First-Class Mail:</t>
  </si>
  <si>
    <t>Single-Piece Letters, Flats &amp; Parcels</t>
  </si>
  <si>
    <t>Workshared Letters, Flats &amp; Parcels</t>
  </si>
  <si>
    <t>Total Letters, Flats &amp; Parcels</t>
  </si>
  <si>
    <t>Single-Piece Cards</t>
  </si>
  <si>
    <t>Workshared Cards</t>
  </si>
  <si>
    <t>Total Cards</t>
  </si>
  <si>
    <t>Total First-Class Mail</t>
  </si>
  <si>
    <t xml:space="preserve">Total Standard Mail </t>
  </si>
  <si>
    <t>Periodicals:</t>
  </si>
  <si>
    <t>Within County</t>
  </si>
  <si>
    <t>Regular Rate</t>
  </si>
  <si>
    <t>Nonprofit</t>
  </si>
  <si>
    <t>Classroom</t>
  </si>
  <si>
    <t>Outside County</t>
  </si>
  <si>
    <t>Total Periodicals</t>
  </si>
  <si>
    <t>Package Services:</t>
  </si>
  <si>
    <t>Media and Library Mail</t>
  </si>
  <si>
    <t>Inbound Surface Parcel Post (at UPU Rates)</t>
  </si>
  <si>
    <t>Package Services Mail Fees</t>
  </si>
  <si>
    <t xml:space="preserve">Total Package Services </t>
  </si>
  <si>
    <t>U.S. Postal Service Mail</t>
  </si>
  <si>
    <t>Free Mail</t>
  </si>
  <si>
    <t>Total Market Dominant Mail</t>
  </si>
  <si>
    <t>Ancillary Services:</t>
  </si>
  <si>
    <t>Certified Mail</t>
  </si>
  <si>
    <t>COD</t>
  </si>
  <si>
    <t>Insurance</t>
  </si>
  <si>
    <t>Registered Mail</t>
  </si>
  <si>
    <t>Stamped Envelopes</t>
  </si>
  <si>
    <t>Stamped Cards</t>
  </si>
  <si>
    <t>Other Ancillary Services</t>
  </si>
  <si>
    <t>Total Ancillary Services</t>
  </si>
  <si>
    <t>Money Orders</t>
  </si>
  <si>
    <t>Post Office Box Service</t>
  </si>
  <si>
    <t>International Services</t>
  </si>
  <si>
    <t>Other Special Services</t>
  </si>
  <si>
    <t>Total Market Dominant Services</t>
  </si>
  <si>
    <t>Total Mail and Services</t>
  </si>
  <si>
    <t xml:space="preserve">Institutional Costs </t>
  </si>
  <si>
    <t>Appropriations: Revenue Forgone</t>
  </si>
  <si>
    <t>Investment Income</t>
  </si>
  <si>
    <t>Total Revenues</t>
  </si>
  <si>
    <t>Total Costs</t>
  </si>
  <si>
    <t>Net Income (Loss)</t>
  </si>
  <si>
    <t>Single-Piece Letters</t>
  </si>
  <si>
    <t>Total Single-Piece Letters and Cards</t>
  </si>
  <si>
    <t>Presort Letters</t>
  </si>
  <si>
    <t>Presort Cards</t>
  </si>
  <si>
    <t>Total Presort Letters and Cards</t>
  </si>
  <si>
    <t>Flats</t>
  </si>
  <si>
    <t>Parcels</t>
  </si>
  <si>
    <t>High Density &amp; Saturation Letters</t>
  </si>
  <si>
    <t>High Density &amp; Saturation Flats &amp; Parcels</t>
  </si>
  <si>
    <t>Carrier Route</t>
  </si>
  <si>
    <t>Total ECR and NECR</t>
  </si>
  <si>
    <t>Letters</t>
  </si>
  <si>
    <t>Not Flat-Machinables and Parcels</t>
  </si>
  <si>
    <t>Total Regular and Nonprofit</t>
  </si>
  <si>
    <t>Single-Piece Parcel Post</t>
  </si>
  <si>
    <t>Bound Printed Matter Flats</t>
  </si>
  <si>
    <t>Bound Printed Matter Parcels</t>
  </si>
  <si>
    <t>First-Class Mail</t>
  </si>
  <si>
    <t xml:space="preserve">Postage </t>
  </si>
  <si>
    <t>Fees</t>
  </si>
  <si>
    <t>Mail Class or Service</t>
  </si>
  <si>
    <t>Domestic First-Class Mail:</t>
  </si>
  <si>
    <t>Automation Letters</t>
  </si>
  <si>
    <t>Workshared Letters</t>
  </si>
  <si>
    <t>Total Letters</t>
  </si>
  <si>
    <t>Single-Piece Flats</t>
  </si>
  <si>
    <t>Presort Flats</t>
  </si>
  <si>
    <t>Single-Piece Parcels</t>
  </si>
  <si>
    <t>Presort Parcels</t>
  </si>
  <si>
    <t>Total Parcels</t>
  </si>
  <si>
    <t>Automation Cards</t>
  </si>
  <si>
    <t>Total Single-Piece Mail</t>
  </si>
  <si>
    <t>Total Workshared Mail</t>
  </si>
  <si>
    <t>Total Domestic First-Class Mail</t>
  </si>
  <si>
    <t>Domestic Mail Fees</t>
  </si>
  <si>
    <t>International First-Class Mail:</t>
  </si>
  <si>
    <t>Outbound Single-Piece Letters</t>
  </si>
  <si>
    <t>Outbound Single-Piece Flats</t>
  </si>
  <si>
    <t>Outbound Single-Piece Parcels</t>
  </si>
  <si>
    <t>Total Outbound Single-Piece Ltrs, Flts, Prcls</t>
  </si>
  <si>
    <t>Outbound Single-Piece Cards</t>
  </si>
  <si>
    <t xml:space="preserve">Total Outbound Single-Piece Mail </t>
  </si>
  <si>
    <t>Total Inbound Single-Piece Mail</t>
  </si>
  <si>
    <t>Total International First-Class Mail</t>
  </si>
  <si>
    <t>International Mail Fees</t>
  </si>
  <si>
    <t xml:space="preserve">Total First-Class Postage Revenue </t>
  </si>
  <si>
    <t>Total First-Class Fees</t>
  </si>
  <si>
    <t>First-Class Mail Fees:</t>
  </si>
  <si>
    <t>Domestic First-Class Mail Fees:</t>
  </si>
  <si>
    <t>Business Reply Service</t>
  </si>
  <si>
    <t>Certificates of Mailing</t>
  </si>
  <si>
    <t>Merchandise Return Service</t>
  </si>
  <si>
    <t>Special Handling</t>
  </si>
  <si>
    <t>Postage Due</t>
  </si>
  <si>
    <t>Address Correction Services (ACS)</t>
  </si>
  <si>
    <t>Application and Mailing Permits</t>
  </si>
  <si>
    <t>Total Domestic First-Class Mail Fees</t>
  </si>
  <si>
    <t>International First-Class Mail Fees:</t>
  </si>
  <si>
    <t>Inbound International Business Reply Service</t>
  </si>
  <si>
    <t>Certificates of Mailing International</t>
  </si>
  <si>
    <t>Postage Due Foreign Origin Surface LC/AO</t>
  </si>
  <si>
    <t>Postage Due Foreign Origin Air LC/AO</t>
  </si>
  <si>
    <t>Postage Due First-Class International (Return Mail)</t>
  </si>
  <si>
    <t>Total International First-Class Mail Fees</t>
  </si>
  <si>
    <t>Total First-Class Mail Fees</t>
  </si>
  <si>
    <t>Standard Mail</t>
  </si>
  <si>
    <t>High Density (HD)</t>
  </si>
  <si>
    <t>Total ECR HD &amp; Saturation Letters</t>
  </si>
  <si>
    <t>NECR Letters:</t>
  </si>
  <si>
    <t>Total NECR HD &amp; Saturation Letters</t>
  </si>
  <si>
    <t>Total High Density &amp; Saturation Letters</t>
  </si>
  <si>
    <t>ECR Flats &amp; Parcels:</t>
  </si>
  <si>
    <t>High Density (HD) Flats</t>
  </si>
  <si>
    <t>Total ECR HD &amp; Saturation Flats</t>
  </si>
  <si>
    <t>High Density (HD) Parcels</t>
  </si>
  <si>
    <t>Total ECR HD &amp; Saturation Parcels</t>
  </si>
  <si>
    <t>Total ECR HD &amp; Saturation Flats &amp; Parcels</t>
  </si>
  <si>
    <t>NECR Flats &amp; Parcels:</t>
  </si>
  <si>
    <t>Total NECR HD &amp; Saturation Flats</t>
  </si>
  <si>
    <t>Total NECR HD &amp; Saturation Parcels</t>
  </si>
  <si>
    <t>Total NECR HD &amp; Saturation Flats &amp; Parcels</t>
  </si>
  <si>
    <t>Total High Density &amp; Saturation Flats &amp; Parcels</t>
  </si>
  <si>
    <t>Regular Carrier Route:</t>
  </si>
  <si>
    <t>Basic Letters</t>
  </si>
  <si>
    <t>Basic Flats</t>
  </si>
  <si>
    <t>Basic Parcels</t>
  </si>
  <si>
    <t>Total Regular Carrier Route</t>
  </si>
  <si>
    <t>Nonprofit Carrier Route:</t>
  </si>
  <si>
    <t>Total Nonprofit Carrier Route</t>
  </si>
  <si>
    <t>Total Carrier Route</t>
  </si>
  <si>
    <t xml:space="preserve">Total Enhanced Carrier Route (ECR) </t>
  </si>
  <si>
    <t xml:space="preserve">Total Nonprofit ECR (NECR) </t>
  </si>
  <si>
    <t>Regular and Nonprofit:</t>
  </si>
  <si>
    <t>Regular Letters:</t>
  </si>
  <si>
    <t>Nonautomation</t>
  </si>
  <si>
    <t>Automation</t>
  </si>
  <si>
    <t>Total Regular Letters</t>
  </si>
  <si>
    <t>Nonprofit Letters:</t>
  </si>
  <si>
    <t>Total Nonprofit Letters</t>
  </si>
  <si>
    <t>Regular Flats:</t>
  </si>
  <si>
    <t>Total Regular Flats</t>
  </si>
  <si>
    <t>Nonprofit Flats:</t>
  </si>
  <si>
    <t>Total Nonprofit Flats</t>
  </si>
  <si>
    <t>Total Flats</t>
  </si>
  <si>
    <t xml:space="preserve">   Not Flat-Machinables and Parcels:</t>
  </si>
  <si>
    <t>Regular Parcels</t>
  </si>
  <si>
    <t xml:space="preserve">   Total Regular Not Flat-Machinables &amp; Parcels</t>
  </si>
  <si>
    <t>Nonprofit Parcels</t>
  </si>
  <si>
    <t xml:space="preserve">   Total Nonprofit Not Flat-Machinables &amp; Parcels</t>
  </si>
  <si>
    <t xml:space="preserve">   Total Not Flat-Machinables and Parcels</t>
  </si>
  <si>
    <t>Total Regular</t>
  </si>
  <si>
    <t xml:space="preserve">Total Nonprofit </t>
  </si>
  <si>
    <t>Total Standard Mail Postage Revenue</t>
  </si>
  <si>
    <t xml:space="preserve">   Standard Mail Fees</t>
  </si>
  <si>
    <t>Standard Mail Fees:</t>
  </si>
  <si>
    <t>Bulk Parcel Return Service</t>
  </si>
  <si>
    <t>Address Correction Services</t>
  </si>
  <si>
    <t>Total Standard Mail Fees</t>
  </si>
  <si>
    <t>Periodicals</t>
  </si>
  <si>
    <t>Outside County:</t>
  </si>
  <si>
    <t>Total Outside County</t>
  </si>
  <si>
    <t>Periodicals Fees:</t>
  </si>
  <si>
    <t>Address Services</t>
  </si>
  <si>
    <t>Total Periodicals Fees</t>
  </si>
  <si>
    <t>Package Services</t>
  </si>
  <si>
    <t>Bound Printed Matter (BPM):</t>
  </si>
  <si>
    <t>BPM Flats:</t>
  </si>
  <si>
    <t>Nonpresorted</t>
  </si>
  <si>
    <t xml:space="preserve">Presorted </t>
  </si>
  <si>
    <t>Workshared BPM Flats</t>
  </si>
  <si>
    <t>Total BPM Flats</t>
  </si>
  <si>
    <t>BPM Parcels:</t>
  </si>
  <si>
    <t>Workshared BPM Parcels</t>
  </si>
  <si>
    <t>Total BPM Parcels</t>
  </si>
  <si>
    <t>Total BPM</t>
  </si>
  <si>
    <t>Media Mail:</t>
  </si>
  <si>
    <t xml:space="preserve">Single Piece </t>
  </si>
  <si>
    <t>Total Media Mail</t>
  </si>
  <si>
    <t>Library Rate:</t>
  </si>
  <si>
    <t>Total Library Rate</t>
  </si>
  <si>
    <t>Total Package Services Postage Revenue</t>
  </si>
  <si>
    <t>Package Services Fees:</t>
  </si>
  <si>
    <t>Parcel Airlift Service</t>
  </si>
  <si>
    <t>Total Package Services Fees</t>
  </si>
  <si>
    <t>Market Dominant Special Services</t>
  </si>
  <si>
    <t xml:space="preserve">MARKET DOMINANT SPECIAL SERVICES </t>
  </si>
  <si>
    <t>Domestic Special Services:</t>
  </si>
  <si>
    <t>Stamped Envelopes and Cards</t>
  </si>
  <si>
    <t>Other Ancillary Services:</t>
  </si>
  <si>
    <t>Delivery Confirmation</t>
  </si>
  <si>
    <t>Return Receipts</t>
  </si>
  <si>
    <t>Return Receipts for Merchandise</t>
  </si>
  <si>
    <t>Total Return Receipts</t>
  </si>
  <si>
    <t>Restricted Delivery</t>
  </si>
  <si>
    <t>Signature Confirmation</t>
  </si>
  <si>
    <t>Total Other Ancillary Services</t>
  </si>
  <si>
    <t>Other Services:</t>
  </si>
  <si>
    <t>Total Market Dominant Domestic Services</t>
  </si>
  <si>
    <t>International Special Services:</t>
  </si>
  <si>
    <t xml:space="preserve">   Inbound International Ancillary Services</t>
  </si>
  <si>
    <t>Total Market Dominant International Services</t>
  </si>
  <si>
    <t>Parcel Select Mail and Parcel Return Service</t>
  </si>
  <si>
    <t>International Mail and International NSA</t>
  </si>
  <si>
    <t>COMPETITIVE SPECIAL SERVICES</t>
  </si>
  <si>
    <t>Ancillary Services</t>
  </si>
  <si>
    <t>Total Regular and ECR (Commercial)</t>
  </si>
  <si>
    <t>Total Nonprofit and NECR (Nonprofit)</t>
  </si>
  <si>
    <t>REIMBURSEMENT REVENUE (Emergency Preparedness)</t>
  </si>
  <si>
    <t>MISCELLANEOUS ITEM REVENUE</t>
  </si>
  <si>
    <t>Total RPW Other Income</t>
  </si>
  <si>
    <t>Less Money Orders-Domestic Float</t>
  </si>
  <si>
    <t>Total PRC Other Income</t>
  </si>
  <si>
    <t>Plus Money Orders-Domestic Float</t>
  </si>
  <si>
    <t>Revenue from Money Orders:</t>
  </si>
  <si>
    <t>RPW Revenue for Money Orders</t>
  </si>
  <si>
    <t>PRC Revenue for Money Orders</t>
  </si>
  <si>
    <t>Single-Piece Letters and Cards</t>
  </si>
  <si>
    <t>Presort Letters and Cards</t>
  </si>
  <si>
    <t xml:space="preserve">Outbound Single-Piece Mail Intl </t>
  </si>
  <si>
    <t xml:space="preserve">Inbound Single-Piece Mail Intl </t>
  </si>
  <si>
    <t>Competitive International Services</t>
  </si>
  <si>
    <t>Total Market Dominant Mail and Services</t>
  </si>
  <si>
    <t>Change</t>
  </si>
  <si>
    <t>%</t>
  </si>
  <si>
    <t>( Millions)</t>
  </si>
  <si>
    <t>Total Revenue</t>
  </si>
  <si>
    <t>Total Cost</t>
  </si>
  <si>
    <t>Financial Results</t>
  </si>
  <si>
    <t>Market Dominant Services</t>
  </si>
  <si>
    <t>Work Hours</t>
  </si>
  <si>
    <t xml:space="preserve">Average Revenue (Cents) </t>
  </si>
  <si>
    <t>Total Automation Letters</t>
  </si>
  <si>
    <t xml:space="preserve">   Inbound Intl. Negotiated Serv. Agreement Mail</t>
  </si>
  <si>
    <t>Inbound Intl. Negotiated Serv. Agreement Mail</t>
  </si>
  <si>
    <t>Total Single-Piece International Parcel Post</t>
  </si>
  <si>
    <t xml:space="preserve">   Periodicals Mail Fees</t>
  </si>
  <si>
    <t>Less Appropriations: Revenue Forgone</t>
  </si>
  <si>
    <t>Less Investment Income</t>
  </si>
  <si>
    <t>(PRC shows Revenue Forgone and Investment income as separate items)</t>
  </si>
  <si>
    <t>Total Periodicals Postage Revenue</t>
  </si>
  <si>
    <t>Caller Service</t>
  </si>
  <si>
    <t>Confirm</t>
  </si>
  <si>
    <t>USPS Mail and Free mail</t>
  </si>
  <si>
    <t>Total</t>
  </si>
  <si>
    <t>Domestic NSAs:</t>
  </si>
  <si>
    <t>Total Letters and Flats</t>
  </si>
  <si>
    <t>ECR Carrier Route</t>
  </si>
  <si>
    <t>Regular:</t>
  </si>
  <si>
    <t>Total Domestic NSAs</t>
  </si>
  <si>
    <t>Inbound NSA Mail Intl</t>
  </si>
  <si>
    <t>Competitive Domestic Services</t>
  </si>
  <si>
    <t>Total Package Services Domestic</t>
  </si>
  <si>
    <t>Total Package Services Intl</t>
  </si>
  <si>
    <t xml:space="preserve">Less Miscellaneous Domestic Special Services </t>
  </si>
  <si>
    <t>Change-of-Address Credit Card Authentication</t>
  </si>
  <si>
    <t>Other Income from RPW to PRC:</t>
  </si>
  <si>
    <t>Less Reconciliation of RPW with Real Trial Balances</t>
  </si>
  <si>
    <t>Domestic NSA Letters</t>
  </si>
  <si>
    <t>Domestic NSA Flats</t>
  </si>
  <si>
    <t>Domestic NSA Letters and Flats</t>
  </si>
  <si>
    <t>Periodicals, Within County</t>
  </si>
  <si>
    <t>Periodicals, Outside County</t>
  </si>
  <si>
    <t>Package Services, Single-Piece Parcel Post</t>
  </si>
  <si>
    <t>Package Services, Media and Library Mail</t>
  </si>
  <si>
    <t>Parcel Select and Parcel Return Service (PRS)</t>
  </si>
  <si>
    <t>USPS</t>
  </si>
  <si>
    <t>Adjustment by PRC</t>
  </si>
  <si>
    <t xml:space="preserve">Inbound Surface Parcel Post (at UPU Rates) </t>
  </si>
  <si>
    <t xml:space="preserve">   Inbound Intl. NSA Mail</t>
  </si>
  <si>
    <t>Inbound Single-Piece Letter-Post</t>
  </si>
  <si>
    <t>Free Military Mail Revenue</t>
  </si>
  <si>
    <t xml:space="preserve">   Stamp Fulfillment Services</t>
  </si>
  <si>
    <t xml:space="preserve">   Address Management Services</t>
  </si>
  <si>
    <t xml:space="preserve">   Customized Postage</t>
  </si>
  <si>
    <t>RPW Volume - PRC Revised CRA Revenue</t>
  </si>
  <si>
    <t xml:space="preserve">              </t>
  </si>
  <si>
    <t>Total Other Services</t>
  </si>
  <si>
    <t>(in Millions)</t>
  </si>
  <si>
    <t>Respective Negative Contribution to Institutional Costs</t>
  </si>
  <si>
    <t xml:space="preserve">List of Market Dominant Products and Services with </t>
  </si>
  <si>
    <t xml:space="preserve">   Official License Retail Products</t>
  </si>
  <si>
    <t xml:space="preserve">   Outbound International Services</t>
  </si>
  <si>
    <t>Standard, Not Flat-Machinables and Parcels</t>
  </si>
  <si>
    <t>Standard, Flats</t>
  </si>
  <si>
    <t>FY 2012</t>
  </si>
  <si>
    <t>Saturation Letters &amp; Simple Address</t>
  </si>
  <si>
    <t>Saturation Flats &amp; Simple Address</t>
  </si>
  <si>
    <t>Saturation Parcels &amp; Simple Address</t>
  </si>
  <si>
    <t>Workshared Flats (Presort + Auto)</t>
  </si>
  <si>
    <t>Total Flats  (Workshare + Single-Piece)</t>
  </si>
  <si>
    <t>Nonprofit Not Flat-Machinables &amp; Market Parcels</t>
  </si>
  <si>
    <t>Regular Not Flat-Machinables &amp; Market Parcels</t>
  </si>
  <si>
    <t>Other International Special Services (New)</t>
  </si>
  <si>
    <t>First-Class Package Service</t>
  </si>
  <si>
    <t>First-Class, Parcels</t>
  </si>
  <si>
    <t>Docket No. ACR2013</t>
  </si>
  <si>
    <t>FY 2013</t>
  </si>
  <si>
    <t>Standard Post Mail Service</t>
  </si>
  <si>
    <t>Single-Piece Parcel Post (Including Alaska Bypass)</t>
  </si>
  <si>
    <t>ECR, CRT and NECR:</t>
  </si>
  <si>
    <t>ECR, CRT Letters:</t>
  </si>
  <si>
    <t>Every Door Direct Mail Retail</t>
  </si>
  <si>
    <t>Every Door Direct Mail (New)</t>
  </si>
  <si>
    <t>Total Letters + Domestic NSA</t>
  </si>
  <si>
    <t>Total Single Piece Letters</t>
  </si>
  <si>
    <t>Total Single Piece Cards</t>
  </si>
  <si>
    <t>Total Single Piece Letters and Cards</t>
  </si>
  <si>
    <t>Single Piece Flats</t>
  </si>
  <si>
    <t>First-Class NSAs</t>
  </si>
  <si>
    <t>Total Domestic First Class Mail</t>
  </si>
  <si>
    <t>Expanded Detail</t>
  </si>
  <si>
    <t>International First Class Mail</t>
  </si>
  <si>
    <t>International Postage Revenue</t>
  </si>
  <si>
    <t>Outbound First-Class Mail International</t>
  </si>
  <si>
    <t>Inbound International Letter Post</t>
  </si>
  <si>
    <t>Total First Class Mail</t>
  </si>
  <si>
    <t>First Class Mail Fees</t>
  </si>
  <si>
    <t>Picture Permit Imprint (NEW)</t>
  </si>
  <si>
    <t xml:space="preserve">    High Density and Saturation Letters</t>
  </si>
  <si>
    <t xml:space="preserve">    High Density and Saturation Flats and Parcels</t>
  </si>
  <si>
    <t xml:space="preserve">    Every Door Direct Mail Retail</t>
  </si>
  <si>
    <t xml:space="preserve">    Carrier Route</t>
  </si>
  <si>
    <t xml:space="preserve">    Letters</t>
  </si>
  <si>
    <t xml:space="preserve">    Flats</t>
  </si>
  <si>
    <t xml:space="preserve">    Parcels</t>
  </si>
  <si>
    <t xml:space="preserve">    Standard Mail NSAs</t>
  </si>
  <si>
    <t>Attributable Cost Detail and Fee Distribution Detail</t>
  </si>
  <si>
    <t>TOTAL STANDARD MAIL</t>
  </si>
  <si>
    <t xml:space="preserve">    Inbound Intl. NSA</t>
  </si>
  <si>
    <t>Total Single Parcels and NSA</t>
  </si>
  <si>
    <t>Total Domestic Package Services</t>
  </si>
  <si>
    <t>Total International Package Services</t>
  </si>
  <si>
    <t>TOTAL Package Services</t>
  </si>
  <si>
    <t>Alaska Bypass</t>
  </si>
  <si>
    <t>Parcel Post</t>
  </si>
  <si>
    <t>Category</t>
  </si>
  <si>
    <t>Standard Mail Fees</t>
  </si>
  <si>
    <t>Standard Mail Dom. NSA Fees</t>
  </si>
  <si>
    <t>Periodicals Mail Fees</t>
  </si>
  <si>
    <t>Market Dominant</t>
  </si>
  <si>
    <t>Competitive</t>
  </si>
  <si>
    <t>RPW Check</t>
  </si>
  <si>
    <t>TOT MD FEES</t>
  </si>
  <si>
    <t xml:space="preserve"> Other Ancillary Services</t>
  </si>
  <si>
    <t>Standard Mail NSAs</t>
  </si>
  <si>
    <t>Fiscal Year 2013 Volume, Revenue, Cost and Cost Coverage by Class</t>
  </si>
  <si>
    <t>Standard Post Mail (NEW)</t>
  </si>
  <si>
    <t>First Class NSAs</t>
  </si>
  <si>
    <t>Every Door Direct Retail (NEW)</t>
  </si>
  <si>
    <t>Source:  Library Reference PRC-ACR2013-LR1</t>
  </si>
  <si>
    <t>Appendix</t>
  </si>
  <si>
    <t>check</t>
  </si>
  <si>
    <t>Total Standard Mail</t>
  </si>
  <si>
    <t>Total Package Services</t>
  </si>
  <si>
    <t>Total USPS and Free</t>
  </si>
  <si>
    <t>Other Market Dominant Income</t>
  </si>
  <si>
    <t>Other Competitive Income</t>
  </si>
  <si>
    <t>Operating Revenue \1</t>
  </si>
  <si>
    <t>1\  Includes Adjustment to reduce the estimated liability for defreed revenue-prepaid postage for Forever Stamps by approximately $1.3 billion.  See USPS 10K at 18.</t>
  </si>
  <si>
    <t>2013 ACD</t>
  </si>
  <si>
    <t>Other Domestic Ancillary Services</t>
  </si>
  <si>
    <t>Docket No. ACR 2013</t>
  </si>
  <si>
    <t>Total Deferred Revenue Change in Estimate 2/</t>
  </si>
  <si>
    <t>Other International Costs 1/</t>
  </si>
  <si>
    <t>1/ "Other Costs" are international service incremental costs that cannot be assigned to a specific international mail product or category</t>
  </si>
  <si>
    <t>Total Periodicals Mail</t>
  </si>
  <si>
    <t>2/ Adjustment to reduce the estimated liability for deferred revenue-prepaid postage for Forever Stamps by approximately $1.3 billion</t>
  </si>
  <si>
    <t>RPW and CRA Check</t>
  </si>
  <si>
    <t xml:space="preserve">Priority Mail  </t>
  </si>
  <si>
    <t>Priority Mail Express 1/</t>
  </si>
  <si>
    <t xml:space="preserve">Priority Mail Express </t>
  </si>
  <si>
    <t>1/  Docket No. MC2013-45 Changed the name of Express Mail to Priority Mail Express.</t>
  </si>
  <si>
    <t>Non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</si>
</sst>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#,##0.0000_);\(#,##0.0000\)"/>
    <numFmt numFmtId="167" formatCode="0.0%"/>
    <numFmt numFmtId="168" formatCode="dd\-mmm\-yy"/>
    <numFmt numFmtId="169" formatCode="#,##0.000_);[Red]\(#,##0.000\)"/>
    <numFmt numFmtId="170" formatCode="#,##0.000;[Red]#,##0.000"/>
    <numFmt numFmtId="171" formatCode="#,##0.000000_);\(#,##0.000000\)"/>
    <numFmt numFmtId="172" formatCode="#,##0.0_);[Red]\(#,##0.0\)"/>
    <numFmt numFmtId="173" formatCode="#,##0.00000_);[Red]\(#,##0.00000\)"/>
    <numFmt numFmtId="174" formatCode="_(* #,##0_);_(* \(#,##0\);_(* &quot;-&quot;??_);_(@_)"/>
    <numFmt numFmtId="175" formatCode="_(* #,##0.000_);_(* \(#,##0.000\);_(* &quot;-&quot;??_);_(@_)"/>
    <numFmt numFmtId="176" formatCode="#,##0.000000000000000000_);[Red]\(#,##0.000000000000000000\)"/>
    <numFmt numFmtId="177" formatCode="0_);[Red]\(0\)"/>
    <numFmt numFmtId="178" formatCode="#,##0.0000000000000_);\(#,##0.0000000000000\)"/>
    <numFmt numFmtId="179" formatCode="0.000000000%"/>
    <numFmt numFmtId="180" formatCode="_(* #,##0.000_);_(* \(#,##0.000\);_(* &quot;-&quot;???_);_(@_)"/>
    <numFmt numFmtId="181" formatCode="#,##0.000"/>
    <numFmt numFmtId="183" formatCode="_(* #,##0.0_);_(* \(#,##0.0\);_(* &quot;-&quot;_);_(@_)"/>
    <numFmt numFmtId="184" formatCode="_(* #,##0.00_);_(* \(#,##0.00\);_(* &quot;-&quot;_);_(@_)"/>
    <numFmt numFmtId="185" formatCode="_(* #,##0.000_);_(* \(#,##0.000\);_(* &quot;-&quot;_);_(@_)"/>
    <numFmt numFmtId="186" formatCode="0.00000%"/>
    <numFmt numFmtId="187" formatCode="_(* #,##0.0000_);_(* \(#,##0.0000\);_(* &quot;-&quot;_);_(@_)"/>
    <numFmt numFmtId="188" formatCode="#,##0.000000000000_);\(#,##0.000000000000\)"/>
    <numFmt numFmtId="189" formatCode="_(* #,##0.0000_);_(* \(#,##0.0000\);_(* &quot;-&quot;??_);_(@_)"/>
    <numFmt numFmtId="190" formatCode="0.00000000%"/>
    <numFmt numFmtId="191" formatCode="0.000000000000"/>
  </numFmts>
  <fonts count="5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name val="Arial"/>
      <family val="2"/>
    </font>
    <font>
      <sz val="14"/>
      <color indexed="12"/>
      <name val="Arial"/>
      <family val="2"/>
    </font>
    <font>
      <sz val="14"/>
      <color indexed="10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b/>
      <sz val="12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sz val="12"/>
      <color theme="0" tint="-0.14999847407452621"/>
      <name val="Arial"/>
      <family val="2"/>
    </font>
    <font>
      <b/>
      <sz val="12"/>
      <color theme="0" tint="-0.14999847407452621"/>
      <name val="Arial"/>
      <family val="2"/>
    </font>
    <font>
      <b/>
      <sz val="12"/>
      <color rgb="FFFF0000"/>
      <name val="Arial"/>
      <family val="2"/>
    </font>
    <font>
      <sz val="12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37" fillId="0" borderId="0"/>
    <xf numFmtId="0" fontId="23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81">
    <xf numFmtId="0" fontId="0" fillId="0" borderId="0" xfId="0"/>
    <xf numFmtId="0" fontId="21" fillId="0" borderId="0" xfId="0" applyFont="1"/>
    <xf numFmtId="168" fontId="21" fillId="0" borderId="0" xfId="0" applyNumberFormat="1" applyFont="1" applyAlignment="1">
      <alignment horizontal="left"/>
    </xf>
    <xf numFmtId="0" fontId="20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0" fillId="0" borderId="0" xfId="0" applyFont="1"/>
    <xf numFmtId="0" fontId="21" fillId="0" borderId="0" xfId="0" applyNumberFormat="1" applyFont="1" applyAlignment="1"/>
    <xf numFmtId="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0" xfId="0" applyFont="1"/>
    <xf numFmtId="165" fontId="21" fillId="0" borderId="0" xfId="0" applyNumberFormat="1" applyFont="1"/>
    <xf numFmtId="167" fontId="20" fillId="0" borderId="0" xfId="42" applyNumberFormat="1" applyFont="1"/>
    <xf numFmtId="3" fontId="21" fillId="0" borderId="0" xfId="0" applyNumberFormat="1" applyFont="1"/>
    <xf numFmtId="168" fontId="21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Continuous"/>
    </xf>
    <xf numFmtId="0" fontId="21" fillId="0" borderId="0" xfId="0" applyNumberFormat="1" applyFont="1" applyAlignment="1">
      <alignment horizontal="centerContinuous"/>
    </xf>
    <xf numFmtId="0" fontId="20" fillId="0" borderId="0" xfId="0" applyNumberFormat="1" applyFont="1" applyFill="1" applyAlignment="1">
      <alignment horizontal="centerContinuous"/>
    </xf>
    <xf numFmtId="0" fontId="21" fillId="0" borderId="0" xfId="0" applyFont="1" applyAlignment="1">
      <alignment wrapText="1"/>
    </xf>
    <xf numFmtId="0" fontId="20" fillId="0" borderId="0" xfId="0" applyFont="1" applyFill="1" applyAlignment="1">
      <alignment horizontal="centerContinuous"/>
    </xf>
    <xf numFmtId="3" fontId="20" fillId="0" borderId="0" xfId="0" applyNumberFormat="1" applyFont="1" applyAlignment="1">
      <alignment horizontal="center"/>
    </xf>
    <xf numFmtId="0" fontId="20" fillId="0" borderId="10" xfId="0" quotePrefix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5" fillId="0" borderId="0" xfId="0" applyFont="1"/>
    <xf numFmtId="0" fontId="20" fillId="0" borderId="0" xfId="0" applyFont="1" applyFill="1" applyAlignment="1">
      <alignment horizontal="left" indent="2"/>
    </xf>
    <xf numFmtId="0" fontId="20" fillId="0" borderId="0" xfId="0" applyFont="1" applyFill="1" applyAlignment="1">
      <alignment horizontal="left" indent="1"/>
    </xf>
    <xf numFmtId="0" fontId="21" fillId="0" borderId="0" xfId="0" applyFont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0" xfId="0" applyNumberFormat="1" applyFont="1" applyAlignment="1"/>
    <xf numFmtId="0" fontId="26" fillId="0" borderId="0" xfId="0" applyNumberFormat="1" applyFont="1" applyFill="1" applyAlignment="1">
      <alignment horizontal="centerContinuous"/>
    </xf>
    <xf numFmtId="0" fontId="26" fillId="0" borderId="0" xfId="0" applyFont="1" applyFill="1" applyAlignment="1">
      <alignment horizontal="centerContinuous"/>
    </xf>
    <xf numFmtId="0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1" fillId="0" borderId="0" xfId="0" applyFont="1" applyFill="1" applyAlignment="1">
      <alignment horizontal="left" indent="1"/>
    </xf>
    <xf numFmtId="0" fontId="21" fillId="0" borderId="0" xfId="0" applyFont="1" applyBorder="1"/>
    <xf numFmtId="165" fontId="20" fillId="0" borderId="0" xfId="0" applyNumberFormat="1" applyFont="1" applyBorder="1"/>
    <xf numFmtId="0" fontId="21" fillId="0" borderId="0" xfId="0" applyFont="1" applyFill="1" applyAlignment="1">
      <alignment horizontal="left" indent="2"/>
    </xf>
    <xf numFmtId="165" fontId="21" fillId="0" borderId="0" xfId="0" applyNumberFormat="1" applyFont="1" applyBorder="1"/>
    <xf numFmtId="167" fontId="29" fillId="0" borderId="0" xfId="0" applyNumberFormat="1" applyFont="1"/>
    <xf numFmtId="0" fontId="30" fillId="0" borderId="0" xfId="0" applyFont="1"/>
    <xf numFmtId="0" fontId="28" fillId="0" borderId="0" xfId="0" applyNumberFormat="1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0" fillId="0" borderId="0" xfId="0" applyFont="1" applyAlignment="1">
      <alignment horizontal="centerContinuous"/>
    </xf>
    <xf numFmtId="167" fontId="31" fillId="0" borderId="0" xfId="0" applyNumberFormat="1" applyFont="1"/>
    <xf numFmtId="0" fontId="29" fillId="0" borderId="0" xfId="0" applyFont="1" applyAlignment="1">
      <alignment horizontal="center"/>
    </xf>
    <xf numFmtId="168" fontId="30" fillId="0" borderId="0" xfId="0" applyNumberFormat="1" applyFont="1" applyAlignment="1">
      <alignment horizontal="center"/>
    </xf>
    <xf numFmtId="0" fontId="29" fillId="0" borderId="0" xfId="0" applyNumberFormat="1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left" indent="1"/>
    </xf>
    <xf numFmtId="167" fontId="30" fillId="0" borderId="0" xfId="0" applyNumberFormat="1" applyFont="1"/>
    <xf numFmtId="0" fontId="33" fillId="0" borderId="0" xfId="0" quotePrefix="1" applyNumberFormat="1" applyFont="1" applyAlignment="1">
      <alignment horizontal="left" indent="2"/>
    </xf>
    <xf numFmtId="167" fontId="34" fillId="0" borderId="0" xfId="0" applyNumberFormat="1" applyFont="1"/>
    <xf numFmtId="0" fontId="33" fillId="0" borderId="0" xfId="0" applyFont="1" applyAlignment="1">
      <alignment horizontal="left" indent="1"/>
    </xf>
    <xf numFmtId="165" fontId="20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2" fillId="0" borderId="0" xfId="0" applyFont="1" applyFill="1"/>
    <xf numFmtId="3" fontId="21" fillId="0" borderId="0" xfId="0" applyNumberFormat="1" applyFont="1" applyFill="1"/>
    <xf numFmtId="0" fontId="21" fillId="0" borderId="0" xfId="0" applyFont="1" applyFill="1"/>
    <xf numFmtId="168" fontId="21" fillId="0" borderId="0" xfId="0" applyNumberFormat="1" applyFont="1" applyFill="1" applyAlignment="1">
      <alignment horizontal="center"/>
    </xf>
    <xf numFmtId="168" fontId="21" fillId="0" borderId="0" xfId="0" applyNumberFormat="1" applyFont="1" applyFill="1" applyAlignment="1">
      <alignment horizontal="left"/>
    </xf>
    <xf numFmtId="2" fontId="20" fillId="0" borderId="0" xfId="0" applyNumberFormat="1" applyFont="1" applyFill="1" applyAlignment="1">
      <alignment horizontal="centerContinuous"/>
    </xf>
    <xf numFmtId="0" fontId="21" fillId="0" borderId="0" xfId="0" applyNumberFormat="1" applyFont="1" applyFill="1" applyAlignment="1">
      <alignment horizontal="centerContinuous"/>
    </xf>
    <xf numFmtId="0" fontId="21" fillId="0" borderId="0" xfId="0" applyFont="1" applyFill="1" applyAlignment="1">
      <alignment wrapText="1"/>
    </xf>
    <xf numFmtId="0" fontId="21" fillId="0" borderId="0" xfId="0" applyFont="1" applyFill="1" applyAlignment="1">
      <alignment horizontal="centerContinuous"/>
    </xf>
    <xf numFmtId="3" fontId="20" fillId="0" borderId="0" xfId="0" applyNumberFormat="1" applyFont="1" applyFill="1" applyAlignment="1">
      <alignment horizontal="center"/>
    </xf>
    <xf numFmtId="0" fontId="20" fillId="0" borderId="10" xfId="0" quotePrefix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quotePrefix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left"/>
    </xf>
    <xf numFmtId="0" fontId="20" fillId="0" borderId="0" xfId="0" quotePrefix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5" fillId="0" borderId="0" xfId="0" applyFont="1" applyFill="1"/>
    <xf numFmtId="0" fontId="27" fillId="0" borderId="0" xfId="0" applyFont="1" applyFill="1"/>
    <xf numFmtId="165" fontId="21" fillId="0" borderId="0" xfId="0" applyNumberFormat="1" applyFont="1" applyFill="1"/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5" fontId="21" fillId="0" borderId="0" xfId="0" applyNumberFormat="1" applyFont="1" applyFill="1" applyBorder="1"/>
    <xf numFmtId="165" fontId="21" fillId="0" borderId="12" xfId="0" applyNumberFormat="1" applyFont="1" applyFill="1" applyBorder="1"/>
    <xf numFmtId="0" fontId="21" fillId="0" borderId="11" xfId="0" applyFont="1" applyFill="1" applyBorder="1"/>
    <xf numFmtId="0" fontId="39" fillId="0" borderId="0" xfId="0" applyFont="1" applyFill="1"/>
    <xf numFmtId="0" fontId="21" fillId="0" borderId="0" xfId="0" applyFont="1" applyFill="1" applyBorder="1" applyAlignment="1">
      <alignment horizontal="left" indent="2"/>
    </xf>
    <xf numFmtId="167" fontId="21" fillId="0" borderId="0" xfId="0" applyNumberFormat="1" applyFont="1" applyFill="1"/>
    <xf numFmtId="165" fontId="21" fillId="0" borderId="0" xfId="0" applyNumberFormat="1" applyFont="1" applyFill="1" applyAlignment="1">
      <alignment horizontal="right"/>
    </xf>
    <xf numFmtId="0" fontId="20" fillId="0" borderId="0" xfId="0" applyFont="1" applyFill="1" applyBorder="1" applyAlignment="1">
      <alignment horizontal="left" indent="1"/>
    </xf>
    <xf numFmtId="167" fontId="20" fillId="0" borderId="0" xfId="0" applyNumberFormat="1" applyFont="1" applyFill="1"/>
    <xf numFmtId="165" fontId="20" fillId="0" borderId="0" xfId="0" applyNumberFormat="1" applyFont="1" applyFill="1" applyAlignment="1">
      <alignment horizontal="right"/>
    </xf>
    <xf numFmtId="0" fontId="21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left" indent="2"/>
    </xf>
    <xf numFmtId="167" fontId="20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indent="3"/>
    </xf>
    <xf numFmtId="168" fontId="25" fillId="0" borderId="0" xfId="0" applyNumberFormat="1" applyFont="1" applyAlignment="1">
      <alignment horizontal="center"/>
    </xf>
    <xf numFmtId="168" fontId="25" fillId="0" borderId="0" xfId="0" applyNumberFormat="1" applyFont="1" applyAlignment="1">
      <alignment horizontal="left"/>
    </xf>
    <xf numFmtId="0" fontId="25" fillId="0" borderId="0" xfId="0" applyNumberFormat="1" applyFont="1" applyAlignment="1">
      <alignment horizontal="centerContinuous"/>
    </xf>
    <xf numFmtId="0" fontId="25" fillId="0" borderId="0" xfId="0" applyFont="1" applyAlignment="1">
      <alignment wrapText="1"/>
    </xf>
    <xf numFmtId="0" fontId="25" fillId="0" borderId="0" xfId="0" applyNumberFormat="1" applyFont="1" applyAlignment="1"/>
    <xf numFmtId="0" fontId="26" fillId="0" borderId="0" xfId="0" applyFont="1" applyFill="1"/>
    <xf numFmtId="3" fontId="27" fillId="0" borderId="0" xfId="0" applyNumberFormat="1" applyFont="1" applyFill="1"/>
    <xf numFmtId="168" fontId="27" fillId="0" borderId="0" xfId="0" applyNumberFormat="1" applyFont="1" applyFill="1" applyAlignment="1">
      <alignment horizontal="center"/>
    </xf>
    <xf numFmtId="168" fontId="27" fillId="0" borderId="0" xfId="0" applyNumberFormat="1" applyFont="1" applyFill="1" applyAlignment="1">
      <alignment horizontal="left"/>
    </xf>
    <xf numFmtId="0" fontId="27" fillId="0" borderId="0" xfId="0" applyNumberFormat="1" applyFont="1" applyFill="1" applyAlignment="1">
      <alignment horizontal="centerContinuous"/>
    </xf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horizontal="centerContinuous"/>
    </xf>
    <xf numFmtId="0" fontId="26" fillId="0" borderId="0" xfId="0" applyNumberFormat="1" applyFont="1" applyFill="1" applyAlignment="1">
      <alignment horizontal="center"/>
    </xf>
    <xf numFmtId="0" fontId="27" fillId="0" borderId="0" xfId="0" applyNumberFormat="1" applyFont="1" applyFill="1" applyAlignment="1"/>
    <xf numFmtId="3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10" xfId="0" applyNumberFormat="1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4" fillId="0" borderId="0" xfId="0" applyFont="1" applyFill="1"/>
    <xf numFmtId="0" fontId="21" fillId="0" borderId="0" xfId="0" applyFont="1" applyFill="1" applyAlignment="1">
      <alignment horizontal="left" indent="3"/>
    </xf>
    <xf numFmtId="0" fontId="20" fillId="0" borderId="0" xfId="0" applyFont="1" applyFill="1" applyAlignment="1">
      <alignment horizontal="left" indent="3"/>
    </xf>
    <xf numFmtId="0" fontId="21" fillId="0" borderId="0" xfId="0" applyNumberFormat="1" applyFont="1" applyFill="1" applyAlignment="1">
      <alignment horizontal="left" indent="2"/>
    </xf>
    <xf numFmtId="0" fontId="20" fillId="0" borderId="13" xfId="0" applyFont="1" applyFill="1" applyBorder="1"/>
    <xf numFmtId="0" fontId="21" fillId="0" borderId="14" xfId="0" applyFont="1" applyFill="1" applyBorder="1"/>
    <xf numFmtId="0" fontId="21" fillId="0" borderId="15" xfId="0" applyFont="1" applyFill="1" applyBorder="1"/>
    <xf numFmtId="0" fontId="21" fillId="0" borderId="0" xfId="0" applyFont="1" applyFill="1" applyBorder="1"/>
    <xf numFmtId="0" fontId="20" fillId="0" borderId="11" xfId="0" applyFont="1" applyFill="1" applyBorder="1"/>
    <xf numFmtId="165" fontId="20" fillId="0" borderId="12" xfId="0" applyNumberFormat="1" applyFont="1" applyFill="1" applyBorder="1"/>
    <xf numFmtId="0" fontId="21" fillId="0" borderId="11" xfId="0" applyFont="1" applyFill="1" applyBorder="1" applyAlignment="1">
      <alignment horizontal="left" indent="1"/>
    </xf>
    <xf numFmtId="0" fontId="21" fillId="0" borderId="12" xfId="0" applyFont="1" applyFill="1" applyBorder="1"/>
    <xf numFmtId="0" fontId="21" fillId="0" borderId="16" xfId="0" applyFont="1" applyFill="1" applyBorder="1"/>
    <xf numFmtId="0" fontId="21" fillId="0" borderId="0" xfId="0" applyNumberFormat="1" applyFont="1" applyFill="1" applyAlignment="1">
      <alignment horizontal="left" indent="1"/>
    </xf>
    <xf numFmtId="0" fontId="21" fillId="0" borderId="0" xfId="0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left" indent="1"/>
    </xf>
    <xf numFmtId="0" fontId="20" fillId="0" borderId="0" xfId="0" applyNumberFormat="1" applyFont="1" applyFill="1" applyAlignment="1">
      <alignment horizontal="left" indent="1"/>
    </xf>
    <xf numFmtId="0" fontId="20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/>
    <xf numFmtId="0" fontId="20" fillId="0" borderId="1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 applyBorder="1"/>
    <xf numFmtId="0" fontId="20" fillId="0" borderId="0" xfId="0" applyFont="1" applyFill="1" applyBorder="1"/>
    <xf numFmtId="0" fontId="32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1" fillId="0" borderId="10" xfId="0" applyFont="1" applyFill="1" applyBorder="1"/>
    <xf numFmtId="165" fontId="20" fillId="0" borderId="18" xfId="0" applyNumberFormat="1" applyFont="1" applyFill="1" applyBorder="1"/>
    <xf numFmtId="165" fontId="21" fillId="0" borderId="0" xfId="0" applyNumberFormat="1" applyFont="1" applyFill="1" applyAlignment="1">
      <alignment horizontal="center"/>
    </xf>
    <xf numFmtId="165" fontId="20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/>
    <xf numFmtId="3" fontId="25" fillId="0" borderId="0" xfId="0" applyNumberFormat="1" applyFont="1" applyFill="1"/>
    <xf numFmtId="0" fontId="25" fillId="0" borderId="0" xfId="0" applyNumberFormat="1" applyFont="1" applyFill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20" fillId="0" borderId="0" xfId="0" applyFont="1" applyFill="1" applyAlignment="1"/>
    <xf numFmtId="167" fontId="21" fillId="0" borderId="0" xfId="42" applyNumberFormat="1" applyFont="1" applyFill="1"/>
    <xf numFmtId="37" fontId="21" fillId="0" borderId="0" xfId="0" applyNumberFormat="1" applyFont="1" applyFill="1"/>
    <xf numFmtId="167" fontId="41" fillId="0" borderId="0" xfId="0" applyNumberFormat="1" applyFont="1"/>
    <xf numFmtId="167" fontId="20" fillId="0" borderId="0" xfId="42" applyNumberFormat="1" applyFont="1" applyFill="1"/>
    <xf numFmtId="0" fontId="30" fillId="0" borderId="0" xfId="0" applyFont="1" applyFill="1" applyAlignment="1">
      <alignment horizontal="centerContinuous"/>
    </xf>
    <xf numFmtId="0" fontId="30" fillId="0" borderId="0" xfId="0" applyNumberFormat="1" applyFont="1" applyFill="1" applyAlignment="1">
      <alignment horizontal="centerContinuous"/>
    </xf>
    <xf numFmtId="38" fontId="30" fillId="0" borderId="0" xfId="0" applyNumberFormat="1" applyFont="1"/>
    <xf numFmtId="38" fontId="30" fillId="0" borderId="0" xfId="0" applyNumberFormat="1" applyFont="1" applyFill="1"/>
    <xf numFmtId="38" fontId="35" fillId="0" borderId="0" xfId="28" applyNumberFormat="1" applyFont="1" applyFill="1"/>
    <xf numFmtId="174" fontId="21" fillId="0" borderId="0" xfId="39" applyNumberFormat="1" applyFont="1"/>
    <xf numFmtId="0" fontId="21" fillId="0" borderId="0" xfId="38" applyFont="1" applyFill="1" applyAlignment="1">
      <alignment horizontal="left" indent="1"/>
    </xf>
    <xf numFmtId="40" fontId="30" fillId="0" borderId="0" xfId="0" applyNumberFormat="1" applyFont="1"/>
    <xf numFmtId="169" fontId="29" fillId="0" borderId="0" xfId="0" applyNumberFormat="1" applyFont="1" applyFill="1"/>
    <xf numFmtId="169" fontId="30" fillId="0" borderId="0" xfId="0" applyNumberFormat="1" applyFont="1"/>
    <xf numFmtId="0" fontId="20" fillId="0" borderId="0" xfId="0" applyNumberFormat="1" applyFont="1" applyFill="1" applyAlignment="1">
      <alignment horizontal="left" indent="2"/>
    </xf>
    <xf numFmtId="167" fontId="42" fillId="0" borderId="0" xfId="0" applyNumberFormat="1" applyFont="1"/>
    <xf numFmtId="0" fontId="21" fillId="0" borderId="20" xfId="0" applyFont="1" applyFill="1" applyBorder="1" applyAlignment="1">
      <alignment horizontal="left" indent="1"/>
    </xf>
    <xf numFmtId="0" fontId="20" fillId="0" borderId="0" xfId="0" quotePrefix="1" applyNumberFormat="1" applyFont="1" applyAlignment="1">
      <alignment horizontal="centerContinuous"/>
    </xf>
    <xf numFmtId="0" fontId="21" fillId="0" borderId="0" xfId="0" applyFont="1" applyFill="1" applyAlignment="1"/>
    <xf numFmtId="0" fontId="21" fillId="0" borderId="0" xfId="0" applyFont="1" applyFill="1" applyAlignment="1">
      <alignment horizontal="left"/>
    </xf>
    <xf numFmtId="0" fontId="28" fillId="0" borderId="0" xfId="0" applyFont="1" applyFill="1" applyAlignment="1">
      <alignment horizontal="centerContinuous"/>
    </xf>
    <xf numFmtId="38" fontId="21" fillId="0" borderId="0" xfId="0" applyNumberFormat="1" applyFont="1" applyFill="1"/>
    <xf numFmtId="38" fontId="20" fillId="0" borderId="0" xfId="0" applyNumberFormat="1" applyFont="1" applyFill="1"/>
    <xf numFmtId="0" fontId="21" fillId="0" borderId="0" xfId="0" applyNumberFormat="1" applyFont="1" applyFill="1" applyAlignment="1">
      <alignment horizontal="left"/>
    </xf>
    <xf numFmtId="38" fontId="29" fillId="0" borderId="0" xfId="0" applyNumberFormat="1" applyFont="1"/>
    <xf numFmtId="38" fontId="29" fillId="0" borderId="0" xfId="0" applyNumberFormat="1" applyFont="1" applyFill="1"/>
    <xf numFmtId="37" fontId="20" fillId="0" borderId="0" xfId="0" applyNumberFormat="1" applyFont="1" applyFill="1"/>
    <xf numFmtId="5" fontId="21" fillId="0" borderId="0" xfId="0" applyNumberFormat="1" applyFont="1" applyFill="1"/>
    <xf numFmtId="39" fontId="21" fillId="0" borderId="0" xfId="0" applyNumberFormat="1" applyFont="1" applyFill="1"/>
    <xf numFmtId="165" fontId="20" fillId="0" borderId="0" xfId="0" quotePrefix="1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horizontal="centerContinuous"/>
    </xf>
    <xf numFmtId="177" fontId="21" fillId="0" borderId="0" xfId="0" applyNumberFormat="1" applyFont="1"/>
    <xf numFmtId="172" fontId="21" fillId="0" borderId="0" xfId="0" applyNumberFormat="1" applyFont="1"/>
    <xf numFmtId="0" fontId="21" fillId="24" borderId="0" xfId="0" applyFont="1" applyFill="1"/>
    <xf numFmtId="167" fontId="20" fillId="0" borderId="0" xfId="0" applyNumberFormat="1" applyFont="1" applyFill="1" applyBorder="1"/>
    <xf numFmtId="0" fontId="21" fillId="0" borderId="11" xfId="0" quotePrefix="1" applyFont="1" applyFill="1" applyBorder="1" applyAlignment="1">
      <alignment horizontal="left" indent="1"/>
    </xf>
    <xf numFmtId="43" fontId="21" fillId="0" borderId="0" xfId="0" quotePrefix="1" applyNumberFormat="1" applyFont="1" applyFill="1" applyBorder="1" applyAlignment="1">
      <alignment horizontal="center"/>
    </xf>
    <xf numFmtId="9" fontId="21" fillId="0" borderId="0" xfId="42" applyFont="1" applyFill="1"/>
    <xf numFmtId="167" fontId="20" fillId="0" borderId="0" xfId="42" applyNumberFormat="1" applyFont="1" applyFill="1" applyBorder="1"/>
    <xf numFmtId="0" fontId="23" fillId="0" borderId="0" xfId="0" applyFont="1" applyFill="1"/>
    <xf numFmtId="37" fontId="21" fillId="0" borderId="0" xfId="0" applyNumberFormat="1" applyFont="1" applyFill="1" applyBorder="1"/>
    <xf numFmtId="0" fontId="20" fillId="0" borderId="0" xfId="0" applyFont="1" applyFill="1" applyAlignment="1">
      <alignment horizontal="left" indent="4"/>
    </xf>
    <xf numFmtId="0" fontId="20" fillId="0" borderId="17" xfId="0" applyFont="1" applyFill="1" applyBorder="1" applyAlignment="1">
      <alignment horizontal="left"/>
    </xf>
    <xf numFmtId="40" fontId="21" fillId="0" borderId="0" xfId="0" applyNumberFormat="1" applyFont="1" applyFill="1"/>
    <xf numFmtId="0" fontId="23" fillId="0" borderId="0" xfId="0" applyFont="1" applyFill="1" applyBorder="1"/>
    <xf numFmtId="167" fontId="21" fillId="0" borderId="0" xfId="42" applyNumberFormat="1" applyFont="1" applyFill="1" applyBorder="1"/>
    <xf numFmtId="164" fontId="21" fillId="0" borderId="0" xfId="0" applyNumberFormat="1" applyFont="1" applyFill="1"/>
    <xf numFmtId="165" fontId="20" fillId="24" borderId="0" xfId="0" applyNumberFormat="1" applyFont="1" applyFill="1" applyBorder="1"/>
    <xf numFmtId="0" fontId="21" fillId="24" borderId="0" xfId="0" applyFont="1" applyFill="1" applyBorder="1"/>
    <xf numFmtId="0" fontId="20" fillId="0" borderId="0" xfId="0" applyFont="1" applyBorder="1" applyAlignment="1">
      <alignment horizontal="left" indent="1"/>
    </xf>
    <xf numFmtId="0" fontId="20" fillId="0" borderId="0" xfId="0" applyFont="1" applyBorder="1"/>
    <xf numFmtId="0" fontId="21" fillId="0" borderId="0" xfId="0" applyFont="1" applyBorder="1" applyAlignment="1">
      <alignment horizontal="left" indent="1"/>
    </xf>
    <xf numFmtId="0" fontId="29" fillId="0" borderId="0" xfId="0" applyFont="1" applyFill="1" applyAlignment="1">
      <alignment horizontal="centerContinuous"/>
    </xf>
    <xf numFmtId="0" fontId="21" fillId="0" borderId="19" xfId="0" applyFont="1" applyFill="1" applyBorder="1"/>
    <xf numFmtId="165" fontId="20" fillId="0" borderId="10" xfId="0" applyNumberFormat="1" applyFont="1" applyFill="1" applyBorder="1"/>
    <xf numFmtId="165" fontId="21" fillId="0" borderId="0" xfId="42" applyNumberFormat="1" applyFont="1" applyFill="1" applyBorder="1"/>
    <xf numFmtId="0" fontId="21" fillId="0" borderId="0" xfId="0" quotePrefix="1" applyNumberFormat="1" applyFont="1" applyFill="1" applyBorder="1" applyAlignment="1">
      <alignment horizontal="left"/>
    </xf>
    <xf numFmtId="0" fontId="38" fillId="0" borderId="0" xfId="0" applyFont="1" applyFill="1" applyBorder="1"/>
    <xf numFmtId="170" fontId="20" fillId="0" borderId="0" xfId="0" applyNumberFormat="1" applyFont="1" applyFill="1" applyBorder="1"/>
    <xf numFmtId="169" fontId="43" fillId="0" borderId="0" xfId="0" applyNumberFormat="1" applyFont="1" applyFill="1" applyBorder="1"/>
    <xf numFmtId="0" fontId="43" fillId="0" borderId="0" xfId="0" applyFont="1" applyFill="1" applyBorder="1"/>
    <xf numFmtId="0" fontId="43" fillId="0" borderId="0" xfId="0" applyFont="1" applyFill="1"/>
    <xf numFmtId="173" fontId="43" fillId="0" borderId="0" xfId="0" applyNumberFormat="1" applyFont="1" applyFill="1"/>
    <xf numFmtId="37" fontId="43" fillId="0" borderId="0" xfId="0" applyNumberFormat="1" applyFont="1" applyFill="1"/>
    <xf numFmtId="38" fontId="43" fillId="0" borderId="0" xfId="0" applyNumberFormat="1" applyFont="1" applyFill="1"/>
    <xf numFmtId="174" fontId="43" fillId="0" borderId="0" xfId="0" applyNumberFormat="1" applyFont="1" applyFill="1"/>
    <xf numFmtId="0" fontId="20" fillId="0" borderId="20" xfId="0" applyFont="1" applyFill="1" applyBorder="1"/>
    <xf numFmtId="0" fontId="20" fillId="0" borderId="20" xfId="0" applyFont="1" applyFill="1" applyBorder="1" applyAlignment="1">
      <alignment horizontal="left" indent="1"/>
    </xf>
    <xf numFmtId="0" fontId="21" fillId="0" borderId="20" xfId="0" applyFont="1" applyFill="1" applyBorder="1"/>
    <xf numFmtId="165" fontId="20" fillId="0" borderId="0" xfId="0" quotePrefix="1" applyNumberFormat="1" applyFont="1" applyFill="1" applyBorder="1" applyAlignment="1">
      <alignment horizontal="center"/>
    </xf>
    <xf numFmtId="0" fontId="21" fillId="0" borderId="0" xfId="0" quotePrefix="1" applyNumberFormat="1" applyFont="1" applyFill="1" applyAlignment="1">
      <alignment horizontal="left" indent="1"/>
    </xf>
    <xf numFmtId="171" fontId="21" fillId="0" borderId="0" xfId="0" applyNumberFormat="1" applyFont="1" applyFill="1" applyBorder="1"/>
    <xf numFmtId="3" fontId="21" fillId="0" borderId="0" xfId="0" applyNumberFormat="1" applyFont="1" applyFill="1" applyBorder="1"/>
    <xf numFmtId="168" fontId="21" fillId="0" borderId="0" xfId="0" applyNumberFormat="1" applyFont="1" applyFill="1" applyBorder="1" applyAlignment="1">
      <alignment horizontal="center"/>
    </xf>
    <xf numFmtId="168" fontId="21" fillId="0" borderId="0" xfId="0" applyNumberFormat="1" applyFont="1" applyFill="1" applyBorder="1" applyAlignment="1">
      <alignment horizontal="left"/>
    </xf>
    <xf numFmtId="2" fontId="20" fillId="0" borderId="0" xfId="0" applyNumberFormat="1" applyFont="1" applyFill="1" applyBorder="1" applyAlignment="1">
      <alignment horizontal="centerContinuous"/>
    </xf>
    <xf numFmtId="0" fontId="21" fillId="0" borderId="0" xfId="0" applyNumberFormat="1" applyFont="1" applyFill="1" applyBorder="1" applyAlignment="1">
      <alignment horizontal="centerContinuous"/>
    </xf>
    <xf numFmtId="0" fontId="20" fillId="0" borderId="0" xfId="0" applyNumberFormat="1" applyFont="1" applyFill="1" applyBorder="1" applyAlignment="1">
      <alignment horizontal="centerContinuous"/>
    </xf>
    <xf numFmtId="0" fontId="21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Continuous"/>
    </xf>
    <xf numFmtId="0" fontId="21" fillId="0" borderId="0" xfId="0" applyNumberFormat="1" applyFont="1" applyFill="1" applyBorder="1" applyAlignment="1"/>
    <xf numFmtId="167" fontId="21" fillId="0" borderId="0" xfId="0" applyNumberFormat="1" applyFont="1" applyFill="1" applyBorder="1" applyAlignment="1">
      <alignment horizontal="center"/>
    </xf>
    <xf numFmtId="167" fontId="20" fillId="0" borderId="0" xfId="0" applyNumberFormat="1" applyFont="1" applyFill="1" applyBorder="1" applyAlignment="1">
      <alignment horizontal="center"/>
    </xf>
    <xf numFmtId="165" fontId="20" fillId="0" borderId="0" xfId="42" applyNumberFormat="1" applyFont="1" applyFill="1" applyBorder="1"/>
    <xf numFmtId="178" fontId="20" fillId="0" borderId="0" xfId="0" applyNumberFormat="1" applyFont="1" applyFill="1" applyBorder="1"/>
    <xf numFmtId="0" fontId="20" fillId="0" borderId="0" xfId="0" applyFont="1" applyFill="1" applyBorder="1" applyAlignment="1">
      <alignment horizontal="left" indent="4"/>
    </xf>
    <xf numFmtId="39" fontId="21" fillId="0" borderId="0" xfId="0" applyNumberFormat="1" applyFont="1" applyFill="1" applyBorder="1"/>
    <xf numFmtId="39" fontId="20" fillId="0" borderId="0" xfId="0" applyNumberFormat="1" applyFont="1" applyFill="1" applyBorder="1"/>
    <xf numFmtId="164" fontId="21" fillId="0" borderId="0" xfId="0" applyNumberFormat="1" applyFont="1" applyFill="1" applyBorder="1"/>
    <xf numFmtId="164" fontId="20" fillId="0" borderId="0" xfId="0" applyNumberFormat="1" applyFont="1" applyFill="1" applyBorder="1"/>
    <xf numFmtId="164" fontId="21" fillId="0" borderId="0" xfId="42" applyNumberFormat="1" applyFont="1" applyFill="1" applyBorder="1"/>
    <xf numFmtId="164" fontId="20" fillId="0" borderId="0" xfId="42" applyNumberFormat="1" applyFont="1" applyFill="1" applyBorder="1"/>
    <xf numFmtId="166" fontId="21" fillId="0" borderId="0" xfId="0" applyNumberFormat="1" applyFont="1" applyFill="1" applyBorder="1"/>
    <xf numFmtId="167" fontId="21" fillId="0" borderId="0" xfId="0" applyNumberFormat="1" applyFont="1" applyFill="1" applyBorder="1"/>
    <xf numFmtId="164" fontId="21" fillId="0" borderId="0" xfId="0" applyNumberFormat="1" applyFont="1" applyFill="1" applyBorder="1" applyAlignment="1">
      <alignment horizontal="right"/>
    </xf>
    <xf numFmtId="43" fontId="20" fillId="0" borderId="0" xfId="0" applyNumberFormat="1" applyFont="1" applyFill="1"/>
    <xf numFmtId="43" fontId="21" fillId="0" borderId="0" xfId="0" applyNumberFormat="1" applyFont="1" applyFill="1"/>
    <xf numFmtId="41" fontId="21" fillId="0" borderId="0" xfId="0" applyNumberFormat="1" applyFont="1" applyFill="1"/>
    <xf numFmtId="167" fontId="21" fillId="0" borderId="0" xfId="42" quotePrefix="1" applyNumberFormat="1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165" fontId="43" fillId="0" borderId="0" xfId="0" applyNumberFormat="1" applyFont="1" applyFill="1"/>
    <xf numFmtId="43" fontId="43" fillId="0" borderId="0" xfId="0" applyNumberFormat="1" applyFont="1" applyFill="1"/>
    <xf numFmtId="43" fontId="0" fillId="0" borderId="0" xfId="0" applyNumberFormat="1"/>
    <xf numFmtId="43" fontId="21" fillId="0" borderId="0" xfId="0" applyNumberFormat="1" applyFont="1" applyFill="1" applyBorder="1"/>
    <xf numFmtId="43" fontId="20" fillId="0" borderId="0" xfId="0" applyNumberFormat="1" applyFont="1" applyFill="1" applyBorder="1"/>
    <xf numFmtId="43" fontId="21" fillId="0" borderId="12" xfId="0" applyNumberFormat="1" applyFont="1" applyFill="1" applyBorder="1"/>
    <xf numFmtId="43" fontId="20" fillId="0" borderId="12" xfId="0" applyNumberFormat="1" applyFont="1" applyFill="1" applyBorder="1"/>
    <xf numFmtId="0" fontId="44" fillId="0" borderId="0" xfId="0" applyFont="1" applyFill="1"/>
    <xf numFmtId="0" fontId="43" fillId="0" borderId="0" xfId="0" applyFont="1"/>
    <xf numFmtId="43" fontId="44" fillId="0" borderId="0" xfId="0" applyNumberFormat="1" applyFont="1" applyFill="1"/>
    <xf numFmtId="165" fontId="44" fillId="0" borderId="0" xfId="0" applyNumberFormat="1" applyFont="1" applyFill="1"/>
    <xf numFmtId="180" fontId="43" fillId="0" borderId="0" xfId="0" applyNumberFormat="1" applyFont="1" applyFill="1"/>
    <xf numFmtId="0" fontId="44" fillId="0" borderId="0" xfId="0" applyFont="1" applyFill="1" applyBorder="1"/>
    <xf numFmtId="0" fontId="43" fillId="0" borderId="10" xfId="0" applyFont="1" applyFill="1" applyBorder="1"/>
    <xf numFmtId="43" fontId="21" fillId="0" borderId="0" xfId="42" applyNumberFormat="1" applyFont="1" applyFill="1"/>
    <xf numFmtId="43" fontId="44" fillId="0" borderId="0" xfId="0" applyNumberFormat="1" applyFont="1" applyFill="1" applyBorder="1"/>
    <xf numFmtId="43" fontId="21" fillId="0" borderId="0" xfId="0" applyNumberFormat="1" applyFont="1"/>
    <xf numFmtId="0" fontId="43" fillId="0" borderId="11" xfId="0" applyFont="1" applyFill="1" applyBorder="1" applyAlignment="1">
      <alignment horizontal="right"/>
    </xf>
    <xf numFmtId="165" fontId="43" fillId="0" borderId="0" xfId="0" applyNumberFormat="1" applyFont="1" applyFill="1" applyBorder="1"/>
    <xf numFmtId="0" fontId="43" fillId="0" borderId="0" xfId="0" applyFont="1" applyFill="1" applyAlignment="1">
      <alignment horizontal="center"/>
    </xf>
    <xf numFmtId="10" fontId="20" fillId="0" borderId="0" xfId="0" applyNumberFormat="1" applyFont="1" applyFill="1" applyAlignment="1">
      <alignment horizontal="center"/>
    </xf>
    <xf numFmtId="0" fontId="20" fillId="0" borderId="22" xfId="0" applyFont="1" applyFill="1" applyBorder="1"/>
    <xf numFmtId="0" fontId="21" fillId="0" borderId="24" xfId="0" applyFont="1" applyFill="1" applyBorder="1"/>
    <xf numFmtId="0" fontId="21" fillId="0" borderId="23" xfId="0" applyFont="1" applyFill="1" applyBorder="1"/>
    <xf numFmtId="165" fontId="21" fillId="0" borderId="23" xfId="0" applyNumberFormat="1" applyFont="1" applyFill="1" applyBorder="1"/>
    <xf numFmtId="165" fontId="20" fillId="0" borderId="23" xfId="0" applyNumberFormat="1" applyFont="1" applyFill="1" applyBorder="1"/>
    <xf numFmtId="0" fontId="20" fillId="0" borderId="21" xfId="0" applyFont="1" applyFill="1" applyBorder="1"/>
    <xf numFmtId="165" fontId="20" fillId="0" borderId="25" xfId="0" applyNumberFormat="1" applyFont="1" applyFill="1" applyBorder="1"/>
    <xf numFmtId="0" fontId="20" fillId="0" borderId="26" xfId="0" applyFont="1" applyFill="1" applyBorder="1" applyAlignment="1">
      <alignment horizontal="left" indent="2"/>
    </xf>
    <xf numFmtId="165" fontId="20" fillId="0" borderId="26" xfId="0" applyNumberFormat="1" applyFont="1" applyFill="1" applyBorder="1"/>
    <xf numFmtId="0" fontId="20" fillId="0" borderId="26" xfId="0" applyFont="1" applyFill="1" applyBorder="1" applyAlignment="1">
      <alignment horizontal="right"/>
    </xf>
    <xf numFmtId="0" fontId="21" fillId="0" borderId="0" xfId="38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right"/>
    </xf>
    <xf numFmtId="0" fontId="20" fillId="0" borderId="26" xfId="0" applyFont="1" applyFill="1" applyBorder="1" applyAlignment="1">
      <alignment horizontal="left" indent="1"/>
    </xf>
    <xf numFmtId="167" fontId="20" fillId="0" borderId="26" xfId="0" applyNumberFormat="1" applyFont="1" applyFill="1" applyBorder="1"/>
    <xf numFmtId="165" fontId="20" fillId="25" borderId="0" xfId="0" applyNumberFormat="1" applyFont="1" applyFill="1" applyBorder="1"/>
    <xf numFmtId="0" fontId="20" fillId="26" borderId="0" xfId="0" applyFont="1" applyFill="1" applyAlignment="1">
      <alignment horizontal="left" indent="2"/>
    </xf>
    <xf numFmtId="165" fontId="20" fillId="26" borderId="0" xfId="0" applyNumberFormat="1" applyFont="1" applyFill="1"/>
    <xf numFmtId="167" fontId="20" fillId="26" borderId="0" xfId="0" applyNumberFormat="1" applyFont="1" applyFill="1" applyBorder="1"/>
    <xf numFmtId="165" fontId="20" fillId="26" borderId="0" xfId="0" applyNumberFormat="1" applyFont="1" applyFill="1" applyBorder="1"/>
    <xf numFmtId="167" fontId="20" fillId="26" borderId="0" xfId="0" applyNumberFormat="1" applyFont="1" applyFill="1"/>
    <xf numFmtId="0" fontId="21" fillId="26" borderId="0" xfId="0" applyFont="1" applyFill="1" applyAlignment="1">
      <alignment horizontal="left" indent="2"/>
    </xf>
    <xf numFmtId="43" fontId="20" fillId="0" borderId="26" xfId="0" applyNumberFormat="1" applyFont="1" applyFill="1" applyBorder="1"/>
    <xf numFmtId="43" fontId="20" fillId="26" borderId="0" xfId="0" applyNumberFormat="1" applyFont="1" applyFill="1"/>
    <xf numFmtId="43" fontId="21" fillId="0" borderId="19" xfId="0" applyNumberFormat="1" applyFont="1" applyFill="1" applyBorder="1"/>
    <xf numFmtId="43" fontId="20" fillId="0" borderId="10" xfId="0" applyNumberFormat="1" applyFont="1" applyFill="1" applyBorder="1"/>
    <xf numFmtId="164" fontId="20" fillId="26" borderId="0" xfId="0" applyNumberFormat="1" applyFont="1" applyFill="1"/>
    <xf numFmtId="43" fontId="20" fillId="26" borderId="0" xfId="0" applyNumberFormat="1" applyFont="1" applyFill="1" applyBorder="1"/>
    <xf numFmtId="167" fontId="20" fillId="26" borderId="0" xfId="0" applyNumberFormat="1" applyFont="1" applyFill="1" applyAlignment="1">
      <alignment horizontal="center"/>
    </xf>
    <xf numFmtId="167" fontId="20" fillId="0" borderId="26" xfId="0" applyNumberFormat="1" applyFont="1" applyFill="1" applyBorder="1" applyAlignment="1">
      <alignment horizontal="center"/>
    </xf>
    <xf numFmtId="167" fontId="20" fillId="25" borderId="0" xfId="42" applyNumberFormat="1" applyFont="1" applyFill="1" applyBorder="1"/>
    <xf numFmtId="164" fontId="20" fillId="25" borderId="0" xfId="0" applyNumberFormat="1" applyFont="1" applyFill="1" applyBorder="1"/>
    <xf numFmtId="167" fontId="20" fillId="25" borderId="0" xfId="0" applyNumberFormat="1" applyFont="1" applyFill="1" applyBorder="1" applyAlignment="1">
      <alignment horizontal="center"/>
    </xf>
    <xf numFmtId="167" fontId="20" fillId="24" borderId="0" xfId="42" applyNumberFormat="1" applyFont="1" applyFill="1" applyBorder="1"/>
    <xf numFmtId="164" fontId="20" fillId="24" borderId="0" xfId="0" applyNumberFormat="1" applyFont="1" applyFill="1" applyBorder="1"/>
    <xf numFmtId="167" fontId="20" fillId="24" borderId="0" xfId="0" applyNumberFormat="1" applyFont="1" applyFill="1" applyBorder="1" applyAlignment="1">
      <alignment horizontal="center"/>
    </xf>
    <xf numFmtId="0" fontId="20" fillId="25" borderId="0" xfId="0" applyFont="1" applyFill="1" applyBorder="1" applyAlignment="1">
      <alignment horizontal="left" indent="1"/>
    </xf>
    <xf numFmtId="0" fontId="20" fillId="25" borderId="27" xfId="0" applyFont="1" applyFill="1" applyBorder="1" applyAlignment="1">
      <alignment horizontal="left" indent="1"/>
    </xf>
    <xf numFmtId="165" fontId="20" fillId="25" borderId="27" xfId="0" applyNumberFormat="1" applyFont="1" applyFill="1" applyBorder="1"/>
    <xf numFmtId="167" fontId="20" fillId="25" borderId="27" xfId="42" applyNumberFormat="1" applyFont="1" applyFill="1" applyBorder="1"/>
    <xf numFmtId="164" fontId="20" fillId="25" borderId="27" xfId="0" applyNumberFormat="1" applyFont="1" applyFill="1" applyBorder="1"/>
    <xf numFmtId="167" fontId="20" fillId="25" borderId="27" xfId="0" applyNumberFormat="1" applyFont="1" applyFill="1" applyBorder="1" applyAlignment="1">
      <alignment horizontal="center"/>
    </xf>
    <xf numFmtId="167" fontId="21" fillId="0" borderId="26" xfId="42" applyNumberFormat="1" applyFont="1" applyFill="1" applyBorder="1"/>
    <xf numFmtId="3" fontId="20" fillId="0" borderId="0" xfId="0" applyNumberFormat="1" applyFont="1" applyFill="1" applyBorder="1"/>
    <xf numFmtId="41" fontId="21" fillId="0" borderId="0" xfId="0" applyNumberFormat="1" applyFont="1" applyFill="1" applyBorder="1"/>
    <xf numFmtId="0" fontId="20" fillId="0" borderId="26" xfId="0" applyFont="1" applyFill="1" applyBorder="1"/>
    <xf numFmtId="175" fontId="21" fillId="0" borderId="0" xfId="0" applyNumberFormat="1" applyFont="1" applyFill="1" applyBorder="1"/>
    <xf numFmtId="181" fontId="21" fillId="0" borderId="0" xfId="0" applyNumberFormat="1" applyFont="1" applyFill="1" applyBorder="1"/>
    <xf numFmtId="0" fontId="20" fillId="0" borderId="19" xfId="0" applyFont="1" applyFill="1" applyBorder="1"/>
    <xf numFmtId="165" fontId="20" fillId="0" borderId="19" xfId="0" applyNumberFormat="1" applyFont="1" applyFill="1" applyBorder="1"/>
    <xf numFmtId="167" fontId="20" fillId="0" borderId="19" xfId="42" applyNumberFormat="1" applyFont="1" applyFill="1" applyBorder="1"/>
    <xf numFmtId="0" fontId="46" fillId="0" borderId="0" xfId="0" applyFont="1" applyFill="1" applyBorder="1"/>
    <xf numFmtId="41" fontId="46" fillId="0" borderId="0" xfId="0" applyNumberFormat="1" applyFont="1" applyFill="1" applyBorder="1"/>
    <xf numFmtId="0" fontId="45" fillId="0" borderId="26" xfId="0" applyFont="1" applyFill="1" applyBorder="1"/>
    <xf numFmtId="167" fontId="21" fillId="0" borderId="10" xfId="42" applyNumberFormat="1" applyFont="1" applyFill="1" applyBorder="1"/>
    <xf numFmtId="167" fontId="20" fillId="0" borderId="26" xfId="42" applyNumberFormat="1" applyFont="1" applyFill="1" applyBorder="1"/>
    <xf numFmtId="43" fontId="46" fillId="0" borderId="0" xfId="0" applyNumberFormat="1" applyFont="1" applyFill="1" applyBorder="1"/>
    <xf numFmtId="0" fontId="1" fillId="0" borderId="0" xfId="0" applyFont="1" applyFill="1" applyBorder="1"/>
    <xf numFmtId="43" fontId="1" fillId="0" borderId="0" xfId="28" applyFont="1" applyFill="1" applyBorder="1"/>
    <xf numFmtId="9" fontId="21" fillId="0" borderId="0" xfId="42" applyFont="1" applyFill="1" applyBorder="1"/>
    <xf numFmtId="9" fontId="20" fillId="0" borderId="19" xfId="42" applyFont="1" applyFill="1" applyBorder="1"/>
    <xf numFmtId="9" fontId="20" fillId="0" borderId="0" xfId="42" applyFont="1" applyFill="1" applyBorder="1"/>
    <xf numFmtId="9" fontId="20" fillId="0" borderId="26" xfId="42" applyFont="1" applyFill="1" applyBorder="1"/>
    <xf numFmtId="43" fontId="21" fillId="0" borderId="26" xfId="0" applyNumberFormat="1" applyFont="1" applyFill="1" applyBorder="1"/>
    <xf numFmtId="174" fontId="21" fillId="0" borderId="0" xfId="0" applyNumberFormat="1" applyFont="1" applyFill="1"/>
    <xf numFmtId="41" fontId="46" fillId="0" borderId="0" xfId="0" applyNumberFormat="1" applyFont="1" applyFill="1"/>
    <xf numFmtId="0" fontId="46" fillId="0" borderId="0" xfId="0" applyFont="1" applyFill="1"/>
    <xf numFmtId="43" fontId="46" fillId="0" borderId="0" xfId="0" applyNumberFormat="1" applyFont="1" applyFill="1"/>
    <xf numFmtId="9" fontId="21" fillId="0" borderId="0" xfId="42" applyFont="1" applyFill="1" applyAlignment="1">
      <alignment horizontal="center"/>
    </xf>
    <xf numFmtId="9" fontId="20" fillId="0" borderId="0" xfId="42" applyFont="1" applyFill="1"/>
    <xf numFmtId="174" fontId="20" fillId="0" borderId="0" xfId="0" applyNumberFormat="1" applyFont="1" applyFill="1"/>
    <xf numFmtId="9" fontId="20" fillId="0" borderId="0" xfId="0" applyNumberFormat="1" applyFont="1" applyFill="1"/>
    <xf numFmtId="3" fontId="20" fillId="0" borderId="0" xfId="0" applyNumberFormat="1" applyFont="1" applyFill="1"/>
    <xf numFmtId="9" fontId="20" fillId="0" borderId="0" xfId="42" applyFont="1" applyFill="1" applyAlignment="1">
      <alignment horizontal="center"/>
    </xf>
    <xf numFmtId="174" fontId="21" fillId="0" borderId="0" xfId="0" applyNumberFormat="1" applyFont="1"/>
    <xf numFmtId="0" fontId="21" fillId="0" borderId="26" xfId="0" applyFont="1" applyBorder="1"/>
    <xf numFmtId="174" fontId="21" fillId="0" borderId="26" xfId="0" applyNumberFormat="1" applyFont="1" applyBorder="1"/>
    <xf numFmtId="43" fontId="21" fillId="0" borderId="26" xfId="0" applyNumberFormat="1" applyFont="1" applyBorder="1"/>
    <xf numFmtId="174" fontId="20" fillId="0" borderId="0" xfId="0" applyNumberFormat="1" applyFont="1"/>
    <xf numFmtId="43" fontId="20" fillId="0" borderId="0" xfId="0" applyNumberFormat="1" applyFont="1"/>
    <xf numFmtId="9" fontId="21" fillId="0" borderId="0" xfId="42" applyFont="1"/>
    <xf numFmtId="9" fontId="21" fillId="0" borderId="26" xfId="42" applyFont="1" applyBorder="1"/>
    <xf numFmtId="9" fontId="20" fillId="0" borderId="0" xfId="42" applyFont="1"/>
    <xf numFmtId="10" fontId="21" fillId="0" borderId="0" xfId="42" applyNumberFormat="1" applyFont="1"/>
    <xf numFmtId="10" fontId="21" fillId="0" borderId="26" xfId="42" applyNumberFormat="1" applyFont="1" applyBorder="1"/>
    <xf numFmtId="0" fontId="46" fillId="0" borderId="0" xfId="0" applyFont="1"/>
    <xf numFmtId="43" fontId="46" fillId="0" borderId="0" xfId="0" applyNumberFormat="1" applyFont="1"/>
    <xf numFmtId="174" fontId="46" fillId="0" borderId="0" xfId="0" applyNumberFormat="1" applyFont="1"/>
    <xf numFmtId="174" fontId="46" fillId="0" borderId="0" xfId="0" applyNumberFormat="1" applyFont="1" applyFill="1"/>
    <xf numFmtId="43" fontId="20" fillId="0" borderId="0" xfId="0" quotePrefix="1" applyNumberFormat="1" applyFont="1" applyBorder="1" applyAlignment="1">
      <alignment horizontal="center"/>
    </xf>
    <xf numFmtId="43" fontId="21" fillId="0" borderId="0" xfId="0" quotePrefix="1" applyNumberFormat="1" applyFont="1" applyBorder="1" applyAlignment="1">
      <alignment horizontal="center"/>
    </xf>
    <xf numFmtId="43" fontId="21" fillId="0" borderId="0" xfId="0" applyNumberFormat="1" applyFont="1" applyBorder="1" applyAlignment="1">
      <alignment horizontal="center"/>
    </xf>
    <xf numFmtId="9" fontId="21" fillId="0" borderId="0" xfId="42" applyFont="1" applyBorder="1" applyAlignment="1">
      <alignment horizontal="center"/>
    </xf>
    <xf numFmtId="9" fontId="20" fillId="0" borderId="0" xfId="42" quotePrefix="1" applyFont="1" applyBorder="1" applyAlignment="1">
      <alignment horizontal="center"/>
    </xf>
    <xf numFmtId="167" fontId="21" fillId="0" borderId="0" xfId="42" applyNumberFormat="1" applyFont="1" applyBorder="1" applyAlignment="1">
      <alignment horizontal="center"/>
    </xf>
    <xf numFmtId="167" fontId="20" fillId="0" borderId="0" xfId="42" quotePrefix="1" applyNumberFormat="1" applyFont="1" applyBorder="1" applyAlignment="1">
      <alignment horizontal="center"/>
    </xf>
    <xf numFmtId="43" fontId="20" fillId="0" borderId="0" xfId="0" applyNumberFormat="1" applyFont="1" applyBorder="1" applyAlignment="1">
      <alignment horizontal="center"/>
    </xf>
    <xf numFmtId="9" fontId="20" fillId="0" borderId="0" xfId="42" applyFont="1" applyBorder="1" applyAlignment="1">
      <alignment horizontal="center"/>
    </xf>
    <xf numFmtId="41" fontId="43" fillId="0" borderId="0" xfId="0" quotePrefix="1" applyNumberFormat="1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0" xfId="0" quotePrefix="1" applyFont="1" applyBorder="1" applyAlignment="1">
      <alignment horizontal="center"/>
    </xf>
    <xf numFmtId="0" fontId="43" fillId="0" borderId="0" xfId="0" applyNumberFormat="1" applyFont="1" applyBorder="1" applyAlignment="1">
      <alignment horizontal="center"/>
    </xf>
    <xf numFmtId="43" fontId="43" fillId="0" borderId="0" xfId="0" quotePrefix="1" applyNumberFormat="1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quotePrefix="1" applyFont="1" applyBorder="1" applyAlignment="1">
      <alignment horizontal="center"/>
    </xf>
    <xf numFmtId="9" fontId="20" fillId="0" borderId="26" xfId="42" applyFont="1" applyBorder="1" applyAlignment="1">
      <alignment horizontal="center"/>
    </xf>
    <xf numFmtId="0" fontId="20" fillId="0" borderId="26" xfId="0" applyNumberFormat="1" applyFont="1" applyBorder="1" applyAlignment="1">
      <alignment horizontal="center"/>
    </xf>
    <xf numFmtId="43" fontId="20" fillId="0" borderId="0" xfId="0" applyNumberFormat="1" applyFont="1" applyFill="1" applyBorder="1" applyAlignment="1">
      <alignment horizontal="center"/>
    </xf>
    <xf numFmtId="43" fontId="21" fillId="0" borderId="0" xfId="0" applyNumberFormat="1" applyFont="1" applyFill="1" applyBorder="1" applyAlignment="1">
      <alignment horizontal="center"/>
    </xf>
    <xf numFmtId="43" fontId="43" fillId="0" borderId="0" xfId="0" quotePrefix="1" applyNumberFormat="1" applyFont="1" applyFill="1" applyBorder="1" applyAlignment="1">
      <alignment horizontal="center"/>
    </xf>
    <xf numFmtId="9" fontId="21" fillId="0" borderId="0" xfId="42" applyFont="1" applyFill="1" applyBorder="1" applyAlignment="1">
      <alignment horizontal="center"/>
    </xf>
    <xf numFmtId="43" fontId="21" fillId="0" borderId="26" xfId="0" quotePrefix="1" applyNumberFormat="1" applyFont="1" applyFill="1" applyBorder="1" applyAlignment="1">
      <alignment horizontal="center"/>
    </xf>
    <xf numFmtId="43" fontId="21" fillId="0" borderId="26" xfId="0" applyNumberFormat="1" applyFont="1" applyFill="1" applyBorder="1" applyAlignment="1">
      <alignment horizontal="center"/>
    </xf>
    <xf numFmtId="0" fontId="1" fillId="0" borderId="0" xfId="0" applyFont="1"/>
    <xf numFmtId="0" fontId="36" fillId="0" borderId="0" xfId="0" applyFont="1" applyAlignment="1">
      <alignment horizontal="center"/>
    </xf>
    <xf numFmtId="41" fontId="0" fillId="0" borderId="0" xfId="0" applyNumberFormat="1"/>
    <xf numFmtId="0" fontId="1" fillId="0" borderId="26" xfId="0" applyFont="1" applyBorder="1"/>
    <xf numFmtId="41" fontId="0" fillId="0" borderId="26" xfId="0" applyNumberFormat="1" applyBorder="1"/>
    <xf numFmtId="0" fontId="1" fillId="0" borderId="0" xfId="0" applyFont="1" applyBorder="1"/>
    <xf numFmtId="41" fontId="0" fillId="0" borderId="0" xfId="0" applyNumberFormat="1" applyBorder="1"/>
    <xf numFmtId="0" fontId="1" fillId="0" borderId="0" xfId="0" quotePrefix="1" applyFont="1" applyAlignment="1">
      <alignment horizontal="center"/>
    </xf>
    <xf numFmtId="0" fontId="47" fillId="0" borderId="0" xfId="0" applyFont="1"/>
    <xf numFmtId="165" fontId="48" fillId="0" borderId="0" xfId="0" quotePrefix="1" applyNumberFormat="1" applyFont="1" applyFill="1" applyBorder="1" applyAlignment="1">
      <alignment horizontal="center"/>
    </xf>
    <xf numFmtId="0" fontId="48" fillId="0" borderId="0" xfId="0" applyFont="1" applyFill="1" applyAlignment="1">
      <alignment horizontal="left" indent="3"/>
    </xf>
    <xf numFmtId="165" fontId="47" fillId="0" borderId="0" xfId="0" quotePrefix="1" applyNumberFormat="1" applyFont="1" applyFill="1" applyBorder="1" applyAlignment="1">
      <alignment horizontal="center"/>
    </xf>
    <xf numFmtId="165" fontId="21" fillId="0" borderId="0" xfId="0" quotePrefix="1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165" fontId="21" fillId="0" borderId="26" xfId="0" applyNumberFormat="1" applyFont="1" applyFill="1" applyBorder="1"/>
    <xf numFmtId="167" fontId="21" fillId="0" borderId="26" xfId="0" applyNumberFormat="1" applyFont="1" applyFill="1" applyBorder="1" applyAlignment="1">
      <alignment horizontal="center"/>
    </xf>
    <xf numFmtId="0" fontId="21" fillId="0" borderId="26" xfId="0" applyFont="1" applyFill="1" applyBorder="1"/>
    <xf numFmtId="167" fontId="21" fillId="0" borderId="26" xfId="42" quotePrefix="1" applyNumberFormat="1" applyFont="1" applyFill="1" applyBorder="1" applyAlignment="1">
      <alignment horizontal="center"/>
    </xf>
    <xf numFmtId="184" fontId="21" fillId="0" borderId="0" xfId="0" applyNumberFormat="1" applyFont="1" applyFill="1"/>
    <xf numFmtId="41" fontId="20" fillId="0" borderId="0" xfId="0" applyNumberFormat="1" applyFont="1" applyFill="1"/>
    <xf numFmtId="41" fontId="27" fillId="0" borderId="0" xfId="0" applyNumberFormat="1" applyFont="1" applyFill="1"/>
    <xf numFmtId="41" fontId="40" fillId="0" borderId="0" xfId="0" applyNumberFormat="1" applyFont="1" applyFill="1"/>
    <xf numFmtId="41" fontId="27" fillId="0" borderId="0" xfId="0" applyNumberFormat="1" applyFont="1" applyFill="1" applyBorder="1"/>
    <xf numFmtId="41" fontId="26" fillId="0" borderId="0" xfId="0" applyNumberFormat="1" applyFont="1" applyFill="1" applyBorder="1"/>
    <xf numFmtId="41" fontId="20" fillId="0" borderId="0" xfId="0" applyNumberFormat="1" applyFont="1" applyFill="1" applyBorder="1"/>
    <xf numFmtId="41" fontId="43" fillId="0" borderId="0" xfId="0" applyNumberFormat="1" applyFont="1" applyFill="1" applyBorder="1"/>
    <xf numFmtId="183" fontId="27" fillId="0" borderId="0" xfId="0" applyNumberFormat="1" applyFont="1" applyFill="1"/>
    <xf numFmtId="184" fontId="20" fillId="0" borderId="0" xfId="0" applyNumberFormat="1" applyFont="1" applyFill="1"/>
    <xf numFmtId="184" fontId="21" fillId="0" borderId="0" xfId="0" applyNumberFormat="1" applyFont="1" applyFill="1" applyBorder="1"/>
    <xf numFmtId="184" fontId="20" fillId="0" borderId="0" xfId="0" applyNumberFormat="1" applyFont="1" applyFill="1" applyBorder="1"/>
    <xf numFmtId="41" fontId="25" fillId="0" borderId="0" xfId="0" applyNumberFormat="1" applyFont="1" applyFill="1" applyBorder="1"/>
    <xf numFmtId="184" fontId="27" fillId="0" borderId="0" xfId="0" applyNumberFormat="1" applyFont="1" applyFill="1"/>
    <xf numFmtId="0" fontId="22" fillId="0" borderId="28" xfId="0" applyFont="1" applyFill="1" applyBorder="1" applyAlignment="1">
      <alignment horizontal="center"/>
    </xf>
    <xf numFmtId="41" fontId="26" fillId="0" borderId="28" xfId="0" applyNumberFormat="1" applyFont="1" applyFill="1" applyBorder="1"/>
    <xf numFmtId="41" fontId="20" fillId="0" borderId="28" xfId="0" applyNumberFormat="1" applyFont="1" applyFill="1" applyBorder="1"/>
    <xf numFmtId="184" fontId="20" fillId="0" borderId="28" xfId="0" applyNumberFormat="1" applyFont="1" applyFill="1" applyBorder="1"/>
    <xf numFmtId="40" fontId="20" fillId="0" borderId="28" xfId="0" applyNumberFormat="1" applyFont="1" applyFill="1" applyBorder="1"/>
    <xf numFmtId="167" fontId="20" fillId="0" borderId="28" xfId="42" applyNumberFormat="1" applyFont="1" applyFill="1" applyBorder="1"/>
    <xf numFmtId="41" fontId="49" fillId="0" borderId="28" xfId="0" applyNumberFormat="1" applyFont="1" applyFill="1" applyBorder="1"/>
    <xf numFmtId="0" fontId="21" fillId="0" borderId="0" xfId="0" applyFont="1" applyFill="1" applyBorder="1" applyAlignment="1"/>
    <xf numFmtId="41" fontId="21" fillId="26" borderId="0" xfId="0" applyNumberFormat="1" applyFont="1" applyFill="1" applyBorder="1"/>
    <xf numFmtId="184" fontId="20" fillId="26" borderId="0" xfId="0" applyNumberFormat="1" applyFont="1" applyFill="1" applyBorder="1"/>
    <xf numFmtId="0" fontId="21" fillId="26" borderId="0" xfId="0" applyFont="1" applyFill="1" applyBorder="1"/>
    <xf numFmtId="41" fontId="1" fillId="26" borderId="0" xfId="0" applyNumberFormat="1" applyFont="1" applyFill="1" applyBorder="1" applyAlignment="1">
      <alignment vertical="center"/>
    </xf>
    <xf numFmtId="37" fontId="21" fillId="0" borderId="0" xfId="0" applyNumberFormat="1" applyFont="1" applyFill="1" applyAlignment="1">
      <alignment horizontal="right"/>
    </xf>
    <xf numFmtId="0" fontId="50" fillId="0" borderId="0" xfId="0" applyFont="1" applyFill="1" applyBorder="1"/>
    <xf numFmtId="188" fontId="21" fillId="0" borderId="0" xfId="0" applyNumberFormat="1" applyFont="1" applyFill="1"/>
    <xf numFmtId="38" fontId="50" fillId="28" borderId="0" xfId="0" applyNumberFormat="1" applyFont="1" applyFill="1" applyBorder="1"/>
    <xf numFmtId="43" fontId="21" fillId="0" borderId="23" xfId="0" applyNumberFormat="1" applyFont="1" applyFill="1" applyBorder="1"/>
    <xf numFmtId="0" fontId="21" fillId="0" borderId="26" xfId="38" applyFont="1" applyFill="1" applyBorder="1" applyAlignment="1">
      <alignment horizontal="left" indent="1"/>
    </xf>
    <xf numFmtId="174" fontId="21" fillId="0" borderId="26" xfId="0" applyNumberFormat="1" applyFont="1" applyFill="1" applyBorder="1"/>
    <xf numFmtId="3" fontId="21" fillId="0" borderId="26" xfId="0" applyNumberFormat="1" applyFont="1" applyFill="1" applyBorder="1"/>
    <xf numFmtId="185" fontId="43" fillId="0" borderId="0" xfId="0" applyNumberFormat="1" applyFont="1" applyFill="1" applyBorder="1"/>
    <xf numFmtId="174" fontId="25" fillId="0" borderId="0" xfId="0" applyNumberFormat="1" applyFont="1" applyFill="1" applyBorder="1"/>
    <xf numFmtId="41" fontId="50" fillId="29" borderId="0" xfId="0" applyNumberFormat="1" applyFont="1" applyFill="1" applyBorder="1"/>
    <xf numFmtId="43" fontId="50" fillId="0" borderId="0" xfId="0" applyNumberFormat="1" applyFont="1" applyFill="1" applyBorder="1"/>
    <xf numFmtId="38" fontId="50" fillId="0" borderId="0" xfId="0" applyNumberFormat="1" applyFont="1" applyFill="1" applyBorder="1"/>
    <xf numFmtId="38" fontId="21" fillId="0" borderId="0" xfId="0" applyNumberFormat="1" applyFont="1" applyFill="1" applyBorder="1"/>
    <xf numFmtId="0" fontId="20" fillId="27" borderId="0" xfId="0" applyFont="1" applyFill="1" applyBorder="1"/>
    <xf numFmtId="43" fontId="50" fillId="27" borderId="0" xfId="0" applyNumberFormat="1" applyFont="1" applyFill="1" applyBorder="1"/>
    <xf numFmtId="40" fontId="50" fillId="0" borderId="0" xfId="0" applyNumberFormat="1" applyFont="1" applyFill="1" applyBorder="1"/>
    <xf numFmtId="41" fontId="50" fillId="0" borderId="0" xfId="0" applyNumberFormat="1" applyFont="1" applyFill="1" applyBorder="1"/>
    <xf numFmtId="0" fontId="51" fillId="0" borderId="0" xfId="0" applyFont="1" applyFill="1" applyBorder="1" applyAlignment="1">
      <alignment horizontal="right" vertical="center"/>
    </xf>
    <xf numFmtId="174" fontId="51" fillId="0" borderId="0" xfId="0" applyNumberFormat="1" applyFont="1" applyFill="1" applyBorder="1" applyAlignment="1">
      <alignment horizontal="right" vertical="center"/>
    </xf>
    <xf numFmtId="172" fontId="50" fillId="0" borderId="0" xfId="0" applyNumberFormat="1" applyFont="1" applyFill="1" applyBorder="1"/>
    <xf numFmtId="43" fontId="20" fillId="0" borderId="0" xfId="0" applyNumberFormat="1" applyFont="1" applyFill="1" applyBorder="1" applyAlignment="1"/>
    <xf numFmtId="43" fontId="21" fillId="0" borderId="0" xfId="0" quotePrefix="1" applyNumberFormat="1" applyFont="1" applyFill="1" applyBorder="1" applyAlignment="1">
      <alignment horizontal="left"/>
    </xf>
    <xf numFmtId="189" fontId="21" fillId="26" borderId="0" xfId="0" applyNumberFormat="1" applyFont="1" applyFill="1" applyBorder="1"/>
    <xf numFmtId="190" fontId="21" fillId="26" borderId="0" xfId="42" applyNumberFormat="1" applyFont="1" applyFill="1" applyBorder="1"/>
    <xf numFmtId="0" fontId="21" fillId="0" borderId="29" xfId="0" applyFont="1" applyFill="1" applyBorder="1"/>
    <xf numFmtId="41" fontId="21" fillId="0" borderId="29" xfId="0" applyNumberFormat="1" applyFont="1" applyFill="1" applyBorder="1"/>
    <xf numFmtId="174" fontId="21" fillId="0" borderId="29" xfId="28" applyNumberFormat="1" applyFont="1" applyFill="1" applyBorder="1"/>
    <xf numFmtId="2" fontId="20" fillId="0" borderId="0" xfId="42" applyNumberFormat="1" applyFont="1" applyFill="1" applyBorder="1"/>
    <xf numFmtId="191" fontId="21" fillId="0" borderId="0" xfId="0" applyNumberFormat="1" applyFont="1" applyFill="1" applyBorder="1"/>
    <xf numFmtId="187" fontId="21" fillId="26" borderId="0" xfId="0" applyNumberFormat="1" applyFont="1" applyFill="1" applyBorder="1"/>
    <xf numFmtId="41" fontId="46" fillId="0" borderId="0" xfId="0" applyNumberFormat="1" applyFont="1" applyFill="1" applyBorder="1" applyAlignment="1"/>
    <xf numFmtId="0" fontId="45" fillId="0" borderId="0" xfId="0" applyFont="1" applyFill="1" applyBorder="1" applyAlignment="1"/>
    <xf numFmtId="165" fontId="45" fillId="0" borderId="0" xfId="0" applyNumberFormat="1" applyFont="1" applyFill="1" applyBorder="1" applyAlignment="1"/>
    <xf numFmtId="0" fontId="46" fillId="0" borderId="0" xfId="0" applyFont="1" applyFill="1" applyBorder="1" applyAlignment="1"/>
    <xf numFmtId="0" fontId="20" fillId="0" borderId="0" xfId="0" applyFont="1" applyFill="1" applyBorder="1" applyAlignment="1"/>
    <xf numFmtId="174" fontId="21" fillId="0" borderId="0" xfId="0" applyNumberFormat="1" applyFont="1" applyFill="1" applyBorder="1"/>
    <xf numFmtId="43" fontId="43" fillId="0" borderId="0" xfId="0" applyNumberFormat="1" applyFont="1" applyFill="1" applyAlignment="1">
      <alignment horizontal="left"/>
    </xf>
    <xf numFmtId="181" fontId="20" fillId="0" borderId="0" xfId="0" applyNumberFormat="1" applyFont="1" applyFill="1"/>
    <xf numFmtId="41" fontId="20" fillId="0" borderId="0" xfId="28" applyNumberFormat="1" applyFont="1" applyFill="1" applyBorder="1"/>
    <xf numFmtId="179" fontId="20" fillId="0" borderId="0" xfId="42" applyNumberFormat="1" applyFont="1" applyFill="1"/>
    <xf numFmtId="179" fontId="20" fillId="0" borderId="0" xfId="42" applyNumberFormat="1" applyFont="1" applyFill="1" applyBorder="1"/>
    <xf numFmtId="186" fontId="20" fillId="0" borderId="0" xfId="42" applyNumberFormat="1" applyFont="1" applyFill="1" applyBorder="1"/>
    <xf numFmtId="0" fontId="36" fillId="0" borderId="0" xfId="0" applyFont="1" applyFill="1" applyBorder="1" applyAlignment="1">
      <alignment vertical="center"/>
    </xf>
    <xf numFmtId="176" fontId="20" fillId="0" borderId="0" xfId="0" applyNumberFormat="1" applyFont="1" applyFill="1"/>
    <xf numFmtId="40" fontId="20" fillId="0" borderId="0" xfId="0" applyNumberFormat="1" applyFont="1" applyFill="1" applyBorder="1"/>
    <xf numFmtId="169" fontId="20" fillId="0" borderId="0" xfId="0" applyNumberFormat="1" applyFont="1" applyFill="1" applyBorder="1"/>
    <xf numFmtId="41" fontId="45" fillId="0" borderId="0" xfId="28" applyNumberFormat="1" applyFont="1" applyFill="1" applyBorder="1"/>
    <xf numFmtId="41" fontId="45" fillId="0" borderId="0" xfId="28" applyNumberFormat="1" applyFont="1" applyFill="1"/>
    <xf numFmtId="41" fontId="52" fillId="0" borderId="0" xfId="28" applyNumberFormat="1" applyFont="1" applyFill="1" applyBorder="1"/>
    <xf numFmtId="0" fontId="53" fillId="30" borderId="0" xfId="0" applyFont="1" applyFill="1" applyAlignment="1">
      <alignment horizontal="center"/>
    </xf>
    <xf numFmtId="0" fontId="0" fillId="0" borderId="0" xfId="0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te" xfId="40" builtinId="10" customBuiltin="1"/>
    <cellStyle name="Output" xfId="41" builtinId="21" customBuiltin="1"/>
    <cellStyle name="Percent" xfId="42" builtinId="5"/>
    <cellStyle name="Percent 2" xfId="43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financial%20report/13%20NPLR1/13%20ICRA%20NPLR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financial%20report/13%20NPLR1/NP31FY13RPWExtractNONPUBL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financial%20report/13%20NPLR1/13%20Real%20Trial%20Balances_NPLR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financial%20report/13%20NPLR1/13%20NonPublic%20RPW_NPL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financial%20report/13%20NPLR1/13%20NonPublic%20CRA%20Rprt%20B_NPR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financial%20report/13%20NPLR1/13%20Mailing%20Fees_NPLR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laude/ACR/LR1_Working%20Files/PRC-ACR2012-NP-LR1/12%20NonPublic%20RPW_NPLR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wrencb\Application%20Data\Microsoft\Excel\13%20NonPublic%20CRA%20Rprt%20B_NPR1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Public%20CRA_LR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financial%20report/13%20NPLR1/Money%20Order%20Inquiry%20and%20Float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R2013 Intl Products&quot;Booked&quot; "/>
      <sheetName val="FY2013 Intl Mail OB&amp;IB"/>
      <sheetName val="ACR2013 Intl SpecServ Products"/>
      <sheetName val="FY2013 Intl SpecServ OB&amp;IB"/>
      <sheetName val="ACR2013 Intl NSA Summary"/>
      <sheetName val="ACR2013 MD IB Intl NSAs"/>
      <sheetName val="ACR2013 Comp OB Intl NSAs"/>
      <sheetName val="ACR2013 Comp IB Intl NSAs"/>
    </sheetNames>
    <sheetDataSet>
      <sheetData sheetId="0">
        <row r="17">
          <cell r="K17">
            <v>457641.23499999987</v>
          </cell>
          <cell r="O17">
            <v>321531.66603888967</v>
          </cell>
        </row>
        <row r="18">
          <cell r="O18">
            <v>227964.46031748367</v>
          </cell>
        </row>
        <row r="19">
          <cell r="O19">
            <v>549496.12635637331</v>
          </cell>
        </row>
        <row r="21">
          <cell r="O21">
            <v>10756.145909557197</v>
          </cell>
        </row>
        <row r="28">
          <cell r="O28">
            <v>148099.87081050061</v>
          </cell>
        </row>
      </sheetData>
      <sheetData sheetId="1">
        <row r="25">
          <cell r="M25">
            <v>321047.66357656295</v>
          </cell>
        </row>
        <row r="85">
          <cell r="Q85">
            <v>59863.012640000001</v>
          </cell>
        </row>
      </sheetData>
      <sheetData sheetId="2">
        <row r="34">
          <cell r="O34">
            <v>18374.567449062637</v>
          </cell>
        </row>
      </sheetData>
      <sheetData sheetId="3">
        <row r="22">
          <cell r="M22">
            <v>8529.4745063365426</v>
          </cell>
          <cell r="Q22">
            <v>8529.4745063365426</v>
          </cell>
        </row>
        <row r="33">
          <cell r="Q33">
            <v>9845.0929427260926</v>
          </cell>
        </row>
      </sheetData>
      <sheetData sheetId="4">
        <row r="19">
          <cell r="M19">
            <v>147760.93147223134</v>
          </cell>
        </row>
      </sheetData>
      <sheetData sheetId="5">
        <row r="67">
          <cell r="AB67">
            <v>147991.48089352468</v>
          </cell>
        </row>
        <row r="68">
          <cell r="AB68">
            <v>107.51544160007887</v>
          </cell>
        </row>
        <row r="69">
          <cell r="AB69">
            <v>0.87447537583807233</v>
          </cell>
        </row>
      </sheetData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ategory RPW Data"/>
      <sheetName val="Rate Category RPW Data"/>
      <sheetName val="RPW Report revised"/>
    </sheetNames>
    <sheetDataSet>
      <sheetData sheetId="0"/>
      <sheetData sheetId="1"/>
      <sheetData sheetId="2">
        <row r="27">
          <cell r="E27">
            <v>136154.16800000001</v>
          </cell>
        </row>
        <row r="41">
          <cell r="E41">
            <v>56249.764000000003</v>
          </cell>
        </row>
        <row r="42">
          <cell r="E42">
            <v>0</v>
          </cell>
        </row>
        <row r="48">
          <cell r="E48">
            <v>6650.3320000000003</v>
          </cell>
        </row>
        <row r="58">
          <cell r="E58">
            <v>2893.7440000000001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itle"/>
      <sheetName val="SRE"/>
      <sheetName val="SRE Q1"/>
      <sheetName val="SRE Q2"/>
      <sheetName val="SRE Q3"/>
      <sheetName val="SRE Q4"/>
      <sheetName val="CHECKS"/>
      <sheetName val="Check Qtrs"/>
      <sheetName val="Rev"/>
      <sheetName val="seg 1"/>
      <sheetName val="seg 2"/>
      <sheetName val="seg 3"/>
      <sheetName val="seg 4"/>
      <sheetName val="seg 6 &amp; 7"/>
      <sheetName val="seg 8"/>
      <sheetName val="seg 10"/>
      <sheetName val="seg 11"/>
      <sheetName val="seg 12"/>
      <sheetName val="seg 13"/>
      <sheetName val="seg 14"/>
      <sheetName val="seg 15"/>
      <sheetName val="seg 16"/>
      <sheetName val="seg 17"/>
      <sheetName val="seg 18"/>
      <sheetName val="seg 19"/>
      <sheetName val="seg 20"/>
      <sheetName val="Summary"/>
      <sheetName val="Personnel Costs"/>
      <sheetName val="International"/>
      <sheetName val="Address Mgmt"/>
      <sheetName val="CS 11 Realloc"/>
      <sheetName val="MOB Realloc"/>
      <sheetName val="51111 Realloc"/>
      <sheetName val="51112 Realloc"/>
      <sheetName val="Reallocation Summary"/>
      <sheetName val="CRA Titles"/>
      <sheetName val="Outputs to CRA"/>
      <sheetName val="Product Specif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4">
          <cell r="I24">
            <v>72318857583.349991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tegory RPW Data"/>
      <sheetName val="USPS RPW"/>
      <sheetName val="Revised Rate Category RPW Data"/>
      <sheetName val="Summary Category RPW Data"/>
      <sheetName val="PRC RPW"/>
      <sheetName val="Module1"/>
    </sheetNames>
    <sheetDataSet>
      <sheetData sheetId="0"/>
      <sheetData sheetId="1"/>
      <sheetData sheetId="2"/>
      <sheetData sheetId="3">
        <row r="5">
          <cell r="D5">
            <v>10126167508</v>
          </cell>
          <cell r="F5">
            <v>21448767244</v>
          </cell>
        </row>
        <row r="6">
          <cell r="C6">
            <v>350788341</v>
          </cell>
          <cell r="E6">
            <v>1049160543</v>
          </cell>
        </row>
        <row r="7">
          <cell r="C7">
            <v>371578942</v>
          </cell>
          <cell r="E7">
            <v>854239284</v>
          </cell>
        </row>
        <row r="8">
          <cell r="C8">
            <v>13948010597</v>
          </cell>
          <cell r="E8">
            <v>37870655126</v>
          </cell>
        </row>
        <row r="9">
          <cell r="C9">
            <v>47969519</v>
          </cell>
          <cell r="E9">
            <v>170949772</v>
          </cell>
        </row>
        <row r="10">
          <cell r="C10">
            <v>538966566</v>
          </cell>
          <cell r="E10">
            <v>2248340305</v>
          </cell>
        </row>
        <row r="11">
          <cell r="C11">
            <v>1933877759</v>
          </cell>
          <cell r="E11">
            <v>1268594534</v>
          </cell>
        </row>
        <row r="12">
          <cell r="C12">
            <v>35463552</v>
          </cell>
          <cell r="E12">
            <v>31824403</v>
          </cell>
        </row>
        <row r="13">
          <cell r="C13">
            <v>543663215</v>
          </cell>
          <cell r="E13">
            <v>593736270</v>
          </cell>
        </row>
        <row r="14">
          <cell r="C14">
            <v>388171</v>
          </cell>
          <cell r="E14">
            <v>276755</v>
          </cell>
        </row>
        <row r="17">
          <cell r="D17">
            <v>578737212</v>
          </cell>
          <cell r="F17">
            <v>247186732</v>
          </cell>
        </row>
        <row r="27">
          <cell r="D27">
            <v>75356783</v>
          </cell>
          <cell r="F27">
            <v>213535350</v>
          </cell>
        </row>
        <row r="28">
          <cell r="C28">
            <v>187214899</v>
          </cell>
          <cell r="E28">
            <v>171179023</v>
          </cell>
        </row>
        <row r="29">
          <cell r="C29">
            <v>18444071</v>
          </cell>
          <cell r="E29">
            <v>17439871</v>
          </cell>
        </row>
        <row r="30">
          <cell r="C30">
            <v>89415017</v>
          </cell>
          <cell r="E30">
            <v>24358247</v>
          </cell>
        </row>
        <row r="31">
          <cell r="C31">
            <v>162567248</v>
          </cell>
          <cell r="E31">
            <v>18497810</v>
          </cell>
        </row>
        <row r="33">
          <cell r="D33">
            <v>144810693</v>
          </cell>
          <cell r="F33">
            <v>223385476</v>
          </cell>
        </row>
        <row r="42">
          <cell r="D42">
            <v>136630145</v>
          </cell>
          <cell r="F42">
            <v>164326786</v>
          </cell>
        </row>
        <row r="43">
          <cell r="C43">
            <v>18702687</v>
          </cell>
          <cell r="E43">
            <v>0</v>
          </cell>
        </row>
        <row r="44">
          <cell r="C44">
            <v>48807776</v>
          </cell>
          <cell r="E44">
            <v>0</v>
          </cell>
        </row>
        <row r="45">
          <cell r="C45">
            <v>59570280</v>
          </cell>
          <cell r="E45">
            <v>535701913</v>
          </cell>
        </row>
        <row r="46">
          <cell r="C46">
            <v>6018184</v>
          </cell>
          <cell r="E46">
            <v>12619428</v>
          </cell>
        </row>
        <row r="47">
          <cell r="C47">
            <v>139091</v>
          </cell>
          <cell r="E47">
            <v>13911319</v>
          </cell>
        </row>
        <row r="48">
          <cell r="C48">
            <v>1610532</v>
          </cell>
          <cell r="E48">
            <v>182285</v>
          </cell>
        </row>
        <row r="49">
          <cell r="C49">
            <v>347595</v>
          </cell>
          <cell r="E49">
            <v>621407</v>
          </cell>
        </row>
        <row r="50">
          <cell r="C50">
            <v>791220</v>
          </cell>
          <cell r="E50">
            <v>662819</v>
          </cell>
        </row>
        <row r="51">
          <cell r="C51">
            <v>33067</v>
          </cell>
          <cell r="E51">
            <v>35555</v>
          </cell>
        </row>
        <row r="52">
          <cell r="C52">
            <v>0</v>
          </cell>
          <cell r="E52">
            <v>0</v>
          </cell>
        </row>
        <row r="53">
          <cell r="C53">
            <v>133736</v>
          </cell>
          <cell r="E53">
            <v>238139</v>
          </cell>
        </row>
        <row r="55">
          <cell r="D55">
            <v>403107854</v>
          </cell>
          <cell r="F55">
            <v>2543976103</v>
          </cell>
        </row>
        <row r="57">
          <cell r="D57">
            <v>336065520</v>
          </cell>
          <cell r="F57">
            <v>2286287239</v>
          </cell>
        </row>
        <row r="59">
          <cell r="D59">
            <v>16451080</v>
          </cell>
          <cell r="F59">
            <v>196729210</v>
          </cell>
        </row>
        <row r="61">
          <cell r="D61">
            <v>49564990</v>
          </cell>
          <cell r="F61">
            <v>684641961</v>
          </cell>
        </row>
        <row r="65">
          <cell r="D65">
            <v>351186976</v>
          </cell>
          <cell r="F65">
            <v>1700176969</v>
          </cell>
        </row>
        <row r="67">
          <cell r="D67">
            <v>1522792863</v>
          </cell>
          <cell r="F67">
            <v>9022056537</v>
          </cell>
        </row>
        <row r="69">
          <cell r="D69">
            <v>16870124</v>
          </cell>
          <cell r="F69">
            <v>153498227</v>
          </cell>
        </row>
        <row r="72">
          <cell r="D72">
            <v>38878177</v>
          </cell>
          <cell r="F72">
            <v>461782245</v>
          </cell>
        </row>
        <row r="76">
          <cell r="D76">
            <v>6973</v>
          </cell>
          <cell r="F76">
            <v>19810</v>
          </cell>
        </row>
        <row r="78">
          <cell r="C78">
            <v>144</v>
          </cell>
          <cell r="D78">
            <v>114259</v>
          </cell>
          <cell r="E78">
            <v>651</v>
          </cell>
          <cell r="F78">
            <v>259803</v>
          </cell>
        </row>
        <row r="79">
          <cell r="C79">
            <v>0</v>
          </cell>
          <cell r="E79">
            <v>0</v>
          </cell>
        </row>
        <row r="80">
          <cell r="C80">
            <v>0</v>
          </cell>
          <cell r="E80">
            <v>0</v>
          </cell>
        </row>
        <row r="83">
          <cell r="C83">
            <v>14045147</v>
          </cell>
          <cell r="E83">
            <v>66522910</v>
          </cell>
        </row>
        <row r="84">
          <cell r="C84">
            <v>1685619</v>
          </cell>
          <cell r="E84">
            <v>11054538</v>
          </cell>
        </row>
        <row r="85">
          <cell r="C85">
            <v>2216260893</v>
          </cell>
          <cell r="E85">
            <v>8573710691</v>
          </cell>
        </row>
        <row r="86">
          <cell r="C86">
            <v>140574355</v>
          </cell>
          <cell r="E86">
            <v>855913807</v>
          </cell>
        </row>
        <row r="87">
          <cell r="C87">
            <v>21362</v>
          </cell>
          <cell r="E87">
            <v>31192</v>
          </cell>
        </row>
        <row r="88">
          <cell r="C88">
            <v>6892</v>
          </cell>
          <cell r="E88">
            <v>14228</v>
          </cell>
        </row>
        <row r="89">
          <cell r="C89">
            <v>141021</v>
          </cell>
          <cell r="E89">
            <v>379742</v>
          </cell>
        </row>
        <row r="90">
          <cell r="C90">
            <v>205564647</v>
          </cell>
          <cell r="E90">
            <v>761278575</v>
          </cell>
        </row>
        <row r="91">
          <cell r="C91">
            <v>7905868486</v>
          </cell>
          <cell r="E91">
            <v>36226208189</v>
          </cell>
        </row>
        <row r="92">
          <cell r="C92">
            <v>106637888</v>
          </cell>
          <cell r="E92">
            <v>688735295</v>
          </cell>
        </row>
        <row r="93">
          <cell r="C93">
            <v>1045604783</v>
          </cell>
          <cell r="E93">
            <v>9078050920</v>
          </cell>
        </row>
        <row r="94">
          <cell r="C94">
            <v>117150005</v>
          </cell>
          <cell r="E94">
            <v>230204369</v>
          </cell>
        </row>
        <row r="95">
          <cell r="C95">
            <v>1699128594</v>
          </cell>
          <cell r="E95">
            <v>4126510740</v>
          </cell>
        </row>
        <row r="96">
          <cell r="C96">
            <v>25834368</v>
          </cell>
          <cell r="E96">
            <v>77465954</v>
          </cell>
        </row>
        <row r="97">
          <cell r="C97">
            <v>292016140</v>
          </cell>
          <cell r="E97">
            <v>1133838350</v>
          </cell>
        </row>
        <row r="98">
          <cell r="C98">
            <v>138417928</v>
          </cell>
          <cell r="E98">
            <v>974774141</v>
          </cell>
        </row>
        <row r="99">
          <cell r="C99">
            <v>988373</v>
          </cell>
          <cell r="E99">
            <v>447534</v>
          </cell>
        </row>
        <row r="100">
          <cell r="C100">
            <v>22559911</v>
          </cell>
          <cell r="E100">
            <v>15326576</v>
          </cell>
        </row>
        <row r="101">
          <cell r="C101">
            <v>1243</v>
          </cell>
          <cell r="E101">
            <v>0</v>
          </cell>
        </row>
        <row r="102">
          <cell r="C102">
            <v>0</v>
          </cell>
          <cell r="E102">
            <v>0</v>
          </cell>
        </row>
        <row r="103">
          <cell r="C103">
            <v>44885571</v>
          </cell>
          <cell r="E103">
            <v>54827918</v>
          </cell>
        </row>
        <row r="104">
          <cell r="C104">
            <v>1879534</v>
          </cell>
          <cell r="E104">
            <v>1364204</v>
          </cell>
        </row>
        <row r="130">
          <cell r="D130">
            <v>214643069</v>
          </cell>
          <cell r="F130">
            <v>1036466001</v>
          </cell>
        </row>
        <row r="132">
          <cell r="C132">
            <v>76849</v>
          </cell>
          <cell r="E132">
            <v>119383</v>
          </cell>
        </row>
        <row r="133">
          <cell r="C133">
            <v>10751003</v>
          </cell>
          <cell r="E133">
            <v>1903951</v>
          </cell>
        </row>
        <row r="134">
          <cell r="C134">
            <v>8624</v>
          </cell>
        </row>
        <row r="135">
          <cell r="C135">
            <v>41828174</v>
          </cell>
        </row>
        <row r="136">
          <cell r="C136">
            <v>3661963</v>
          </cell>
          <cell r="E136">
            <v>1361681</v>
          </cell>
        </row>
        <row r="138">
          <cell r="C138">
            <v>65380442</v>
          </cell>
          <cell r="E138">
            <v>603253982</v>
          </cell>
        </row>
        <row r="139">
          <cell r="C139">
            <v>1272008441</v>
          </cell>
          <cell r="E139">
            <v>4279517741</v>
          </cell>
        </row>
        <row r="140">
          <cell r="C140">
            <v>291307936</v>
          </cell>
          <cell r="E140">
            <v>1386978916</v>
          </cell>
        </row>
        <row r="141">
          <cell r="C141">
            <v>22816728</v>
          </cell>
          <cell r="E141">
            <v>89222827</v>
          </cell>
        </row>
        <row r="142">
          <cell r="C142">
            <v>6362897</v>
          </cell>
        </row>
        <row r="143">
          <cell r="C143">
            <v>287435</v>
          </cell>
        </row>
        <row r="145">
          <cell r="C145">
            <v>31538524</v>
          </cell>
          <cell r="E145">
            <v>1294607</v>
          </cell>
        </row>
        <row r="151">
          <cell r="D151">
            <v>339123795</v>
          </cell>
          <cell r="F151">
            <v>29554300</v>
          </cell>
        </row>
        <row r="153">
          <cell r="D153">
            <v>17933104</v>
          </cell>
          <cell r="F153">
            <v>905949</v>
          </cell>
        </row>
        <row r="155">
          <cell r="D155">
            <v>2167</v>
          </cell>
          <cell r="F155">
            <v>971</v>
          </cell>
        </row>
        <row r="156">
          <cell r="C156">
            <v>7711074</v>
          </cell>
          <cell r="E156">
            <v>3663249</v>
          </cell>
        </row>
        <row r="158">
          <cell r="C158">
            <v>114965981</v>
          </cell>
          <cell r="E158">
            <v>124996683</v>
          </cell>
        </row>
        <row r="159">
          <cell r="C159">
            <v>763849</v>
          </cell>
          <cell r="E159">
            <v>1007889</v>
          </cell>
        </row>
        <row r="160">
          <cell r="C160">
            <v>61311040</v>
          </cell>
          <cell r="E160">
            <v>99934581</v>
          </cell>
        </row>
        <row r="161">
          <cell r="C161">
            <v>16198</v>
          </cell>
          <cell r="E161">
            <v>8679</v>
          </cell>
        </row>
        <row r="162">
          <cell r="C162">
            <v>16446863</v>
          </cell>
          <cell r="E162">
            <v>5358667</v>
          </cell>
        </row>
        <row r="163">
          <cell r="C163">
            <v>245965251</v>
          </cell>
          <cell r="E163">
            <v>195377457</v>
          </cell>
        </row>
        <row r="164">
          <cell r="C164">
            <v>11593469</v>
          </cell>
          <cell r="E164">
            <v>15445431</v>
          </cell>
        </row>
        <row r="165">
          <cell r="C165">
            <v>581965</v>
          </cell>
          <cell r="E165">
            <v>204900</v>
          </cell>
        </row>
        <row r="166">
          <cell r="C166">
            <v>281659965</v>
          </cell>
          <cell r="E166">
            <v>83288407</v>
          </cell>
        </row>
        <row r="167">
          <cell r="C167">
            <v>13862506</v>
          </cell>
          <cell r="E167">
            <v>4689472</v>
          </cell>
        </row>
        <row r="168">
          <cell r="C168">
            <v>3398848</v>
          </cell>
          <cell r="E168">
            <v>830547</v>
          </cell>
        </row>
        <row r="169">
          <cell r="C169">
            <v>16051740</v>
          </cell>
          <cell r="E169">
            <v>5133645</v>
          </cell>
        </row>
        <row r="170">
          <cell r="C170">
            <v>1144008</v>
          </cell>
          <cell r="E170">
            <v>472545</v>
          </cell>
        </row>
        <row r="171">
          <cell r="C171">
            <v>320381</v>
          </cell>
          <cell r="E171">
            <v>109241</v>
          </cell>
        </row>
        <row r="172">
          <cell r="C172">
            <v>1787541</v>
          </cell>
        </row>
        <row r="173">
          <cell r="C173">
            <v>857416</v>
          </cell>
        </row>
        <row r="174">
          <cell r="C174">
            <v>131328</v>
          </cell>
          <cell r="E174">
            <v>234780</v>
          </cell>
        </row>
        <row r="175">
          <cell r="C175">
            <v>46683</v>
          </cell>
          <cell r="E175">
            <v>44469</v>
          </cell>
        </row>
        <row r="176">
          <cell r="C176">
            <v>70776</v>
          </cell>
          <cell r="E176">
            <v>7977</v>
          </cell>
        </row>
        <row r="188">
          <cell r="C188">
            <v>354824759</v>
          </cell>
          <cell r="E188">
            <v>155872907</v>
          </cell>
        </row>
        <row r="189">
          <cell r="C189">
            <v>0</v>
          </cell>
          <cell r="E189">
            <v>1020645</v>
          </cell>
        </row>
        <row r="190">
          <cell r="C190">
            <v>1281906</v>
          </cell>
          <cell r="E190">
            <v>317930</v>
          </cell>
        </row>
        <row r="191">
          <cell r="E191">
            <v>34647200</v>
          </cell>
        </row>
        <row r="193">
          <cell r="C193">
            <v>9435536</v>
          </cell>
          <cell r="E193">
            <v>2008305</v>
          </cell>
        </row>
        <row r="194">
          <cell r="C194">
            <v>77787174</v>
          </cell>
          <cell r="E194">
            <v>30941155</v>
          </cell>
        </row>
      </sheetData>
      <sheetData sheetId="4">
        <row r="39">
          <cell r="B39">
            <v>29426204.405999999</v>
          </cell>
          <cell r="G39">
            <v>66616453.530999996</v>
          </cell>
        </row>
        <row r="59">
          <cell r="B59">
            <v>16985281.401999995</v>
          </cell>
          <cell r="G59">
            <v>80962674.012000009</v>
          </cell>
        </row>
        <row r="65">
          <cell r="B65">
            <v>1658163.879</v>
          </cell>
          <cell r="G65">
            <v>6358973.466</v>
          </cell>
        </row>
        <row r="75">
          <cell r="B75">
            <v>1135745.9479999999</v>
          </cell>
          <cell r="G75">
            <v>570982.61300000001</v>
          </cell>
        </row>
        <row r="91">
          <cell r="G91">
            <v>630936.79200000002</v>
          </cell>
        </row>
        <row r="93">
          <cell r="G93">
            <v>54577.309000000001</v>
          </cell>
        </row>
        <row r="100">
          <cell r="B100">
            <v>714989.48899999994</v>
          </cell>
          <cell r="G100">
            <v>233944.69399999999</v>
          </cell>
        </row>
        <row r="101">
          <cell r="B101">
            <v>4431.6480000000001</v>
          </cell>
          <cell r="G101">
            <v>486.41199999999998</v>
          </cell>
        </row>
        <row r="102">
          <cell r="B102">
            <v>108436.587</v>
          </cell>
          <cell r="G102">
            <v>28079.599999999999</v>
          </cell>
        </row>
        <row r="103">
          <cell r="B103">
            <v>35464.857000000004</v>
          </cell>
          <cell r="G103">
            <v>2238.4830000000002</v>
          </cell>
        </row>
        <row r="104">
          <cell r="B104">
            <v>10909.6</v>
          </cell>
          <cell r="G104">
            <v>0</v>
          </cell>
        </row>
        <row r="105">
          <cell r="B105">
            <v>1385.8879999999999</v>
          </cell>
        </row>
        <row r="106">
          <cell r="B106">
            <v>71460.934999999998</v>
          </cell>
          <cell r="G106">
            <v>2355710.8739999998</v>
          </cell>
        </row>
        <row r="112">
          <cell r="B112">
            <v>35538.588000000003</v>
          </cell>
          <cell r="G112">
            <v>22708.819</v>
          </cell>
        </row>
        <row r="113">
          <cell r="B113">
            <v>13.733000000000001</v>
          </cell>
          <cell r="G113">
            <v>2.4969999999999999</v>
          </cell>
        </row>
        <row r="120">
          <cell r="B120">
            <v>154964.98800000001</v>
          </cell>
          <cell r="G120">
            <v>102506.936</v>
          </cell>
        </row>
        <row r="121">
          <cell r="B121">
            <v>358500.07900000003</v>
          </cell>
        </row>
        <row r="122">
          <cell r="B122">
            <v>93592.925000000003</v>
          </cell>
        </row>
        <row r="123">
          <cell r="B123">
            <v>16142.687</v>
          </cell>
          <cell r="G123">
            <v>1969.5419999999999</v>
          </cell>
        </row>
        <row r="124">
          <cell r="B124">
            <v>300</v>
          </cell>
        </row>
        <row r="126">
          <cell r="B126">
            <v>14.731</v>
          </cell>
          <cell r="G126">
            <v>481.66199999999998</v>
          </cell>
        </row>
        <row r="130">
          <cell r="B130">
            <v>2049476.1099999999</v>
          </cell>
          <cell r="G130">
            <v>2938290.4610000001</v>
          </cell>
        </row>
        <row r="132">
          <cell r="B132">
            <v>47694.307999999997</v>
          </cell>
        </row>
        <row r="133">
          <cell r="B133">
            <v>743638.08600000013</v>
          </cell>
        </row>
        <row r="134">
          <cell r="B134">
            <v>41205</v>
          </cell>
        </row>
        <row r="135">
          <cell r="B135">
            <v>24147.281999999999</v>
          </cell>
        </row>
        <row r="136">
          <cell r="B136">
            <v>794.47299999999996</v>
          </cell>
        </row>
        <row r="137">
          <cell r="B137">
            <v>56796.978999999999</v>
          </cell>
        </row>
        <row r="262">
          <cell r="B262">
            <v>116214.764</v>
          </cell>
        </row>
        <row r="287">
          <cell r="B287">
            <v>1315689.061</v>
          </cell>
        </row>
        <row r="295">
          <cell r="G295">
            <v>158302445.35899997</v>
          </cell>
        </row>
        <row r="299">
          <cell r="B299">
            <v>201948.00799999997</v>
          </cell>
        </row>
        <row r="319">
          <cell r="B319">
            <v>67341772.358999982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Matrix"/>
      <sheetName val="CS01"/>
      <sheetName val="CS02"/>
      <sheetName val="CS03"/>
      <sheetName val="CS04"/>
      <sheetName val="CS06"/>
      <sheetName val="CS07"/>
      <sheetName val="CS08"/>
      <sheetName val="CS10"/>
      <sheetName val="CS11"/>
      <sheetName val="CS12"/>
      <sheetName val="CS13"/>
      <sheetName val="CS14"/>
      <sheetName val="CS15"/>
      <sheetName val="CS16"/>
      <sheetName val="CS17"/>
      <sheetName val="CS18"/>
      <sheetName val="CS19"/>
      <sheetName val="CS20"/>
      <sheetName val="CS21"/>
      <sheetName val="CS98.1"/>
      <sheetName val="CS98.2"/>
      <sheetName val="CS98.3"/>
      <sheetName val="CS98.4"/>
      <sheetName val="CS98.5"/>
      <sheetName val="CS98.6"/>
      <sheetName val="CS98.7"/>
      <sheetName val="CS98.8"/>
      <sheetName val="CS98.9"/>
      <sheetName val="WorkArea"/>
      <sheetName val="Output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K9">
            <v>5905238.2710575033</v>
          </cell>
        </row>
        <row r="10">
          <cell r="K10">
            <v>291436.10746388033</v>
          </cell>
        </row>
        <row r="12">
          <cell r="K12">
            <v>4604618.4604997579</v>
          </cell>
        </row>
        <row r="13">
          <cell r="K13">
            <v>195387.59745863118</v>
          </cell>
        </row>
        <row r="15">
          <cell r="K15">
            <v>1192084.7234404597</v>
          </cell>
        </row>
        <row r="16">
          <cell r="K16">
            <v>493577.54122067388</v>
          </cell>
        </row>
        <row r="18">
          <cell r="K18">
            <v>583502.8690599472</v>
          </cell>
        </row>
        <row r="19">
          <cell r="K19">
            <v>22835.850999999999</v>
          </cell>
        </row>
        <row r="20">
          <cell r="K20">
            <v>13288681.421200853</v>
          </cell>
        </row>
        <row r="22">
          <cell r="K22">
            <v>341410.95649228763</v>
          </cell>
        </row>
        <row r="23">
          <cell r="K23">
            <v>842701.13789624779</v>
          </cell>
        </row>
        <row r="24">
          <cell r="K24">
            <v>38458.075127044969</v>
          </cell>
        </row>
        <row r="25">
          <cell r="K25">
            <v>1778661.3116236159</v>
          </cell>
        </row>
        <row r="26">
          <cell r="K26">
            <v>4902887.4433081429</v>
          </cell>
        </row>
        <row r="27">
          <cell r="K27">
            <v>2514245.8211699976</v>
          </cell>
        </row>
        <row r="28">
          <cell r="K28">
            <v>109644.69673193023</v>
          </cell>
        </row>
        <row r="29">
          <cell r="K29">
            <v>93118.797999999995</v>
          </cell>
        </row>
        <row r="30">
          <cell r="K30">
            <v>10621128.240349269</v>
          </cell>
        </row>
        <row r="32">
          <cell r="K32">
            <v>86970.060366374993</v>
          </cell>
        </row>
        <row r="33">
          <cell r="K33">
            <v>2092052.2985848663</v>
          </cell>
        </row>
        <row r="36">
          <cell r="K36">
            <v>10303.520161208</v>
          </cell>
        </row>
        <row r="37">
          <cell r="K37">
            <v>330644.26006378152</v>
          </cell>
        </row>
        <row r="38">
          <cell r="K38">
            <v>130417.99661986517</v>
          </cell>
        </row>
        <row r="39">
          <cell r="K39">
            <v>263130.09077894309</v>
          </cell>
        </row>
        <row r="40">
          <cell r="K40">
            <v>372401.92408877786</v>
          </cell>
        </row>
        <row r="41">
          <cell r="K41">
            <v>1106897.7917125756</v>
          </cell>
        </row>
        <row r="43">
          <cell r="M43">
            <v>0</v>
          </cell>
          <cell r="N43">
            <v>38462.434991520808</v>
          </cell>
        </row>
        <row r="47">
          <cell r="I47">
            <v>535194.07839535491</v>
          </cell>
        </row>
        <row r="48">
          <cell r="K48">
            <v>3700.9091975523306</v>
          </cell>
        </row>
        <row r="49">
          <cell r="K49">
            <v>75780.379868900272</v>
          </cell>
        </row>
        <row r="50">
          <cell r="K50">
            <v>27982.15417171588</v>
          </cell>
        </row>
        <row r="51">
          <cell r="K51">
            <v>6476.2298819551252</v>
          </cell>
        </row>
        <row r="52">
          <cell r="K52">
            <v>451.44672839692521</v>
          </cell>
        </row>
        <row r="53">
          <cell r="K53">
            <v>242626.34501880506</v>
          </cell>
        </row>
        <row r="54">
          <cell r="K54">
            <v>8427.8180625998139</v>
          </cell>
        </row>
        <row r="55">
          <cell r="K55">
            <v>22755.288870275508</v>
          </cell>
        </row>
        <row r="56">
          <cell r="K56">
            <v>1863.749</v>
          </cell>
        </row>
        <row r="57">
          <cell r="K57">
            <v>66.126000000000005</v>
          </cell>
        </row>
        <row r="58">
          <cell r="K58">
            <v>103265.92705096357</v>
          </cell>
        </row>
        <row r="59">
          <cell r="K59">
            <v>293935.55257923214</v>
          </cell>
        </row>
        <row r="60">
          <cell r="K60">
            <v>5059.1040000000003</v>
          </cell>
        </row>
        <row r="62">
          <cell r="K62">
            <v>1327585.1088257518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 Fees CHIR"/>
      <sheetName val="MD Distribution CHIR 1 Q 10"/>
      <sheetName val="FCM"/>
      <sheetName val="MD Distribution CHIR Q7"/>
      <sheetName val="SM"/>
      <sheetName val="PER"/>
      <sheetName val="PS"/>
      <sheetName val="Int'l"/>
      <sheetName val="COMP Fees CHIR"/>
      <sheetName val="International Comp Dist"/>
      <sheetName val="PMC"/>
      <sheetName val="Competitive"/>
    </sheetNames>
    <sheetDataSet>
      <sheetData sheetId="0"/>
      <sheetData sheetId="1"/>
      <sheetData sheetId="2">
        <row r="11">
          <cell r="S11">
            <v>95475382.58893393</v>
          </cell>
        </row>
        <row r="12">
          <cell r="S12">
            <v>4485156.7823114246</v>
          </cell>
        </row>
        <row r="13">
          <cell r="S13">
            <v>26696231.365479082</v>
          </cell>
        </row>
        <row r="14">
          <cell r="S14">
            <v>1445293.5481825378</v>
          </cell>
        </row>
        <row r="15">
          <cell r="S15">
            <v>5646760.7579353349</v>
          </cell>
        </row>
        <row r="16">
          <cell r="S16">
            <v>21939.159254023813</v>
          </cell>
        </row>
        <row r="17">
          <cell r="S17">
            <v>409310.88581363438</v>
          </cell>
        </row>
        <row r="18">
          <cell r="S18">
            <v>1646284.6097861137</v>
          </cell>
        </row>
        <row r="19">
          <cell r="S19">
            <v>147207.35059864956</v>
          </cell>
        </row>
        <row r="28">
          <cell r="P28">
            <v>0</v>
          </cell>
        </row>
        <row r="31">
          <cell r="S31">
            <v>180600.95170527147</v>
          </cell>
        </row>
      </sheetData>
      <sheetData sheetId="3"/>
      <sheetData sheetId="4">
        <row r="20">
          <cell r="S20">
            <v>3373524.9133529202</v>
          </cell>
        </row>
        <row r="21">
          <cell r="S21">
            <v>3947636.5183678982</v>
          </cell>
        </row>
        <row r="22">
          <cell r="S22">
            <v>0</v>
          </cell>
        </row>
        <row r="23">
          <cell r="S23">
            <v>5166439.7627966255</v>
          </cell>
        </row>
        <row r="24">
          <cell r="S24">
            <v>34866711.070736662</v>
          </cell>
        </row>
        <row r="25">
          <cell r="S25">
            <v>4238309.8847287912</v>
          </cell>
        </row>
        <row r="26">
          <cell r="S26">
            <v>4113955.0454877685</v>
          </cell>
        </row>
        <row r="27">
          <cell r="S27">
            <v>543186.80452933733</v>
          </cell>
        </row>
        <row r="28">
          <cell r="P28">
            <v>0</v>
          </cell>
        </row>
      </sheetData>
      <sheetData sheetId="5">
        <row r="9">
          <cell r="I9">
            <v>630894.16587007721</v>
          </cell>
        </row>
        <row r="10">
          <cell r="I10">
            <v>6019437.834129924</v>
          </cell>
        </row>
      </sheetData>
      <sheetData sheetId="6">
        <row r="11">
          <cell r="P11">
            <v>0</v>
          </cell>
        </row>
        <row r="12">
          <cell r="U12">
            <v>210190.00277067377</v>
          </cell>
        </row>
        <row r="13">
          <cell r="U13">
            <v>1302684.2142182766</v>
          </cell>
        </row>
        <row r="14">
          <cell r="U14">
            <v>1243707.9902151467</v>
          </cell>
        </row>
        <row r="15">
          <cell r="U15">
            <v>137161.79279590282</v>
          </cell>
        </row>
      </sheetData>
      <sheetData sheetId="7">
        <row r="13">
          <cell r="L13">
            <v>0</v>
          </cell>
        </row>
      </sheetData>
      <sheetData sheetId="8"/>
      <sheetData sheetId="9"/>
      <sheetData sheetId="10">
        <row r="10">
          <cell r="L10">
            <v>1027.0988521851139</v>
          </cell>
        </row>
      </sheetData>
      <sheetData sheetId="11">
        <row r="33">
          <cell r="D33">
            <v>466.16678697840945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ategory RPW Data"/>
      <sheetName val="Rate Category RPW Data"/>
      <sheetName val="RPW Report"/>
      <sheetName val="PRC RPW"/>
      <sheetName val="Module1"/>
    </sheetNames>
    <sheetDataSet>
      <sheetData sheetId="0">
        <row r="13">
          <cell r="E13">
            <v>10533828117</v>
          </cell>
        </row>
      </sheetData>
      <sheetData sheetId="1"/>
      <sheetData sheetId="2"/>
      <sheetData sheetId="3">
        <row r="12">
          <cell r="G12">
            <v>22755204.840999998</v>
          </cell>
        </row>
        <row r="37">
          <cell r="B37">
            <v>29515545.044999998</v>
          </cell>
          <cell r="G37">
            <v>68989715.261999995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Matrix"/>
      <sheetName val="CS01"/>
      <sheetName val="CS02"/>
      <sheetName val="CS03"/>
      <sheetName val="CS04"/>
      <sheetName val="CS06"/>
      <sheetName val="CS07"/>
      <sheetName val="CS08"/>
      <sheetName val="CS10"/>
      <sheetName val="CS11"/>
      <sheetName val="CS12"/>
      <sheetName val="CS13"/>
      <sheetName val="CS14"/>
      <sheetName val="CS15"/>
      <sheetName val="CS16"/>
      <sheetName val="CS17"/>
      <sheetName val="CS18"/>
      <sheetName val="CS19"/>
      <sheetName val="CS20"/>
      <sheetName val="CS21"/>
      <sheetName val="CS98.1"/>
      <sheetName val="CS98.2"/>
      <sheetName val="CS98.3"/>
      <sheetName val="CS98.4"/>
      <sheetName val="CS98.5"/>
      <sheetName val="CS98.6"/>
      <sheetName val="CS98.7"/>
      <sheetName val="CS98.8"/>
      <sheetName val="CS98.9"/>
      <sheetName val="WorkArea"/>
      <sheetName val="Output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8">
          <cell r="K18">
            <v>583502.8690599472</v>
          </cell>
        </row>
        <row r="22">
          <cell r="K22">
            <v>341410.95649228763</v>
          </cell>
        </row>
        <row r="23">
          <cell r="K23">
            <v>842701.13789624779</v>
          </cell>
        </row>
        <row r="25">
          <cell r="K25">
            <v>1778661.3116236159</v>
          </cell>
        </row>
        <row r="26">
          <cell r="K26">
            <v>4902887.4433081429</v>
          </cell>
        </row>
        <row r="27">
          <cell r="K27">
            <v>2514245.8211699976</v>
          </cell>
        </row>
        <row r="28">
          <cell r="K28">
            <v>109644.69673193023</v>
          </cell>
        </row>
        <row r="30">
          <cell r="K30">
            <v>10621128.240349269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st1"/>
      <sheetName val="Cost2"/>
      <sheetName val="Cost3"/>
      <sheetName val="Cost4"/>
      <sheetName val="Weight1"/>
      <sheetName val="Weight2"/>
      <sheetName val="Weight3"/>
      <sheetName val="Module1"/>
    </sheetNames>
    <sheetDataSet>
      <sheetData sheetId="0" refreshError="1"/>
      <sheetData sheetId="1">
        <row r="52">
          <cell r="D52">
            <v>10621.235755790865</v>
          </cell>
        </row>
        <row r="59">
          <cell r="D59">
            <v>2179.0223589512411</v>
          </cell>
        </row>
        <row r="63">
          <cell r="D63">
            <v>340.94778022498946</v>
          </cell>
        </row>
        <row r="64">
          <cell r="D64">
            <v>10.756145909557198</v>
          </cell>
        </row>
        <row r="66">
          <cell r="D66">
            <v>130.41799661986516</v>
          </cell>
        </row>
        <row r="67">
          <cell r="D67">
            <v>263.1300907789431</v>
          </cell>
        </row>
        <row r="68">
          <cell r="D68">
            <v>372.40192408877789</v>
          </cell>
        </row>
      </sheetData>
      <sheetData sheetId="2">
        <row r="12">
          <cell r="D12">
            <v>38.462434991520809</v>
          </cell>
        </row>
      </sheetData>
      <sheetData sheetId="3">
        <row r="17">
          <cell r="D17">
            <v>1001.6754880663146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 Order Inquiry"/>
      <sheetName val="ACTUAL TOTALS"/>
    </sheetNames>
    <sheetDataSet>
      <sheetData sheetId="0"/>
      <sheetData sheetId="1">
        <row r="78">
          <cell r="F78">
            <v>1163032.0260537048</v>
          </cell>
          <cell r="H78">
            <v>1166223.9298120951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85" zoomScaleNormal="85" workbookViewId="0">
      <selection activeCell="B16" sqref="B16"/>
    </sheetView>
  </sheetViews>
  <sheetFormatPr defaultColWidth="8.85546875" defaultRowHeight="18" x14ac:dyDescent="0.25"/>
  <cols>
    <col min="1" max="1" width="45.85546875" style="44" bestFit="1" customWidth="1"/>
    <col min="2" max="2" width="17.5703125" style="44" customWidth="1"/>
    <col min="3" max="3" width="15.140625" style="44" customWidth="1"/>
    <col min="4" max="4" width="11.7109375" style="44" bestFit="1" customWidth="1"/>
    <col min="5" max="5" width="13.85546875" style="44" bestFit="1" customWidth="1"/>
    <col min="6" max="6" width="3.7109375" style="44" customWidth="1"/>
    <col min="7" max="7" width="18.140625" style="44" bestFit="1" customWidth="1"/>
    <col min="8" max="8" width="13.42578125" style="44" bestFit="1" customWidth="1"/>
    <col min="9" max="16384" width="8.85546875" style="44"/>
  </cols>
  <sheetData>
    <row r="1" spans="1:8" x14ac:dyDescent="0.25">
      <c r="A1" s="49" t="s">
        <v>385</v>
      </c>
      <c r="E1" s="50">
        <f ca="1">NOW()</f>
        <v>41706.557639120372</v>
      </c>
    </row>
    <row r="3" spans="1:8" x14ac:dyDescent="0.25">
      <c r="A3" s="51" t="s">
        <v>253</v>
      </c>
      <c r="B3" s="51"/>
      <c r="C3" s="51"/>
      <c r="D3" s="51"/>
      <c r="E3" s="47"/>
    </row>
    <row r="4" spans="1:8" x14ac:dyDescent="0.25">
      <c r="A4" s="52" t="s">
        <v>250</v>
      </c>
      <c r="B4" s="52"/>
      <c r="C4" s="52"/>
      <c r="D4" s="52"/>
      <c r="E4" s="47"/>
    </row>
    <row r="5" spans="1:8" x14ac:dyDescent="0.25">
      <c r="A5" s="52"/>
      <c r="B5" s="52"/>
      <c r="C5" s="52"/>
      <c r="D5" s="52"/>
      <c r="E5" s="47"/>
    </row>
    <row r="6" spans="1:8" x14ac:dyDescent="0.25">
      <c r="D6" s="49"/>
      <c r="E6" s="49" t="s">
        <v>249</v>
      </c>
    </row>
    <row r="7" spans="1:8" x14ac:dyDescent="0.25">
      <c r="B7" s="53" t="s">
        <v>322</v>
      </c>
      <c r="C7" s="141" t="s">
        <v>310</v>
      </c>
      <c r="D7" s="53" t="s">
        <v>248</v>
      </c>
      <c r="E7" s="53" t="s">
        <v>248</v>
      </c>
      <c r="G7" s="53"/>
    </row>
    <row r="8" spans="1:8" x14ac:dyDescent="0.25">
      <c r="B8" s="49"/>
      <c r="C8" s="142"/>
    </row>
    <row r="9" spans="1:8" x14ac:dyDescent="0.25">
      <c r="A9" s="46" t="s">
        <v>2</v>
      </c>
      <c r="B9" s="176">
        <f>'Appendix '!B75/1000</f>
        <v>158302.44535900003</v>
      </c>
      <c r="C9" s="177">
        <v>159858.85437100005</v>
      </c>
      <c r="D9" s="176">
        <f>B9-C9</f>
        <v>-1556.4090120000183</v>
      </c>
      <c r="E9" s="48">
        <f>LN(B9/C9)</f>
        <v>-9.7838513278823355E-3</v>
      </c>
      <c r="G9" s="164"/>
      <c r="H9" s="165"/>
    </row>
    <row r="10" spans="1:8" x14ac:dyDescent="0.25">
      <c r="A10" s="54"/>
      <c r="B10" s="158"/>
      <c r="C10" s="159"/>
      <c r="D10" s="158"/>
      <c r="E10" s="55"/>
    </row>
    <row r="11" spans="1:8" x14ac:dyDescent="0.25">
      <c r="A11" s="46" t="s">
        <v>383</v>
      </c>
      <c r="B11" s="176">
        <f>'Appendix '!C75/1000+'Appendix '!C81/1000+'Appendix '!C82/1000+'Appendix '!C80/1000</f>
        <v>67276.420077000002</v>
      </c>
      <c r="C11" s="177">
        <v>65176.370469536676</v>
      </c>
      <c r="D11" s="176">
        <f>B11-C11</f>
        <v>2100.0496074633265</v>
      </c>
      <c r="E11" s="154">
        <f>LN(B11/C11)</f>
        <v>3.1712817797147581E-2</v>
      </c>
    </row>
    <row r="12" spans="1:8" x14ac:dyDescent="0.25">
      <c r="A12" s="56" t="s">
        <v>61</v>
      </c>
      <c r="B12" s="158">
        <f>+'Appendix '!C78/1000</f>
        <v>41.204999999999998</v>
      </c>
      <c r="C12" s="159">
        <v>46.204000000000001</v>
      </c>
      <c r="D12" s="158">
        <f>B12-C12</f>
        <v>-4.9990000000000023</v>
      </c>
      <c r="E12" s="55"/>
    </row>
    <row r="13" spans="1:8" x14ac:dyDescent="0.25">
      <c r="A13" s="56" t="s">
        <v>62</v>
      </c>
      <c r="B13" s="158">
        <f>+'Appendix '!C79/1000</f>
        <v>24.147282000000001</v>
      </c>
      <c r="C13" s="159">
        <v>24.656760999999999</v>
      </c>
      <c r="D13" s="158">
        <f>B13-C13</f>
        <v>-0.5094789999999989</v>
      </c>
      <c r="E13" s="57"/>
    </row>
    <row r="14" spans="1:8" x14ac:dyDescent="0.25">
      <c r="A14" s="45" t="s">
        <v>251</v>
      </c>
      <c r="B14" s="176">
        <f>SUM(B11:B13)</f>
        <v>67341.77235900001</v>
      </c>
      <c r="C14" s="177">
        <v>65247.231230536672</v>
      </c>
      <c r="D14" s="176">
        <f>B14-C14</f>
        <v>2094.5411284633374</v>
      </c>
      <c r="E14" s="48">
        <f>LN(B14/C14)</f>
        <v>3.1597120890037828E-2</v>
      </c>
    </row>
    <row r="15" spans="1:8" x14ac:dyDescent="0.25">
      <c r="A15" s="45"/>
      <c r="B15" s="176"/>
      <c r="C15" s="177"/>
      <c r="D15" s="176"/>
      <c r="E15" s="43"/>
    </row>
    <row r="16" spans="1:8" x14ac:dyDescent="0.25">
      <c r="A16" s="46" t="s">
        <v>252</v>
      </c>
      <c r="B16" s="176">
        <f>'Appendix '!D84/1000</f>
        <v>72318.857583349993</v>
      </c>
      <c r="C16" s="177">
        <v>81153.197549840334</v>
      </c>
      <c r="D16" s="176">
        <f>B16-C16</f>
        <v>-8834.3399664903409</v>
      </c>
      <c r="E16" s="43">
        <f>LN(B16/C16)</f>
        <v>-0.11525377687109453</v>
      </c>
    </row>
    <row r="17" spans="1:5" x14ac:dyDescent="0.25">
      <c r="A17" s="46"/>
      <c r="B17" s="176"/>
      <c r="C17" s="177"/>
      <c r="D17" s="176"/>
      <c r="E17" s="43"/>
    </row>
    <row r="18" spans="1:5" x14ac:dyDescent="0.25">
      <c r="A18" s="46" t="s">
        <v>65</v>
      </c>
      <c r="B18" s="176">
        <f>B14-B16</f>
        <v>-4977.085224349983</v>
      </c>
      <c r="C18" s="177">
        <v>-15905.966319303661</v>
      </c>
      <c r="D18" s="176">
        <f>B18-C18</f>
        <v>10928.881094953678</v>
      </c>
      <c r="E18" s="55"/>
    </row>
    <row r="19" spans="1:5" x14ac:dyDescent="0.25">
      <c r="B19" s="158"/>
      <c r="C19" s="159"/>
      <c r="D19" s="158"/>
    </row>
    <row r="20" spans="1:5" x14ac:dyDescent="0.25">
      <c r="A20" s="58" t="s">
        <v>256</v>
      </c>
      <c r="B20" s="163">
        <f>B11/B9*100</f>
        <v>42.498661296374671</v>
      </c>
      <c r="C20" s="163">
        <v>40.771198271117036</v>
      </c>
      <c r="D20" s="163">
        <f>B20-C20</f>
        <v>1.7274630252576344</v>
      </c>
      <c r="E20" s="55">
        <f>LN(B20/C20)</f>
        <v>4.1496669125030167E-2</v>
      </c>
    </row>
    <row r="21" spans="1:5" x14ac:dyDescent="0.25">
      <c r="B21" s="158"/>
      <c r="C21" s="159"/>
      <c r="D21" s="158"/>
    </row>
    <row r="22" spans="1:5" x14ac:dyDescent="0.25">
      <c r="A22" s="58" t="s">
        <v>255</v>
      </c>
      <c r="B22" s="159">
        <f>1109831/1000</f>
        <v>1109.8309999999999</v>
      </c>
      <c r="C22" s="160">
        <v>1122.1510000000001</v>
      </c>
      <c r="D22" s="158">
        <f>B22-C22</f>
        <v>-12.320000000000164</v>
      </c>
      <c r="E22" s="57">
        <f>LN(B22/C22)</f>
        <v>-1.1039627670009827E-2</v>
      </c>
    </row>
    <row r="24" spans="1:5" x14ac:dyDescent="0.25">
      <c r="A24" s="58"/>
      <c r="B24" s="161"/>
      <c r="C24" s="161"/>
      <c r="D24" s="158"/>
      <c r="E24" s="167"/>
    </row>
    <row r="26" spans="1:5" x14ac:dyDescent="0.25">
      <c r="A26" s="44" t="s">
        <v>384</v>
      </c>
    </row>
  </sheetData>
  <phoneticPr fontId="19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  <pageSetUpPr fitToPage="1"/>
  </sheetPr>
  <dimension ref="A1:N12"/>
  <sheetViews>
    <sheetView zoomScale="70" zoomScaleNormal="70" workbookViewId="0">
      <selection activeCell="A12" sqref="A12"/>
    </sheetView>
  </sheetViews>
  <sheetFormatPr defaultColWidth="8.85546875" defaultRowHeight="15" x14ac:dyDescent="0.2"/>
  <cols>
    <col min="1" max="1" width="59" style="63" customWidth="1"/>
    <col min="2" max="2" width="18.85546875" style="63" bestFit="1" customWidth="1"/>
    <col min="3" max="3" width="9.28515625" style="63" bestFit="1" customWidth="1"/>
    <col min="4" max="4" width="18.85546875" style="63" customWidth="1"/>
    <col min="5" max="5" width="16.42578125" style="63" bestFit="1" customWidth="1"/>
    <col min="6" max="6" width="17.7109375" style="63" bestFit="1" customWidth="1"/>
    <col min="7" max="7" width="9.28515625" style="63" bestFit="1" customWidth="1"/>
    <col min="8" max="8" width="18.5703125" style="63" bestFit="1" customWidth="1"/>
    <col min="9" max="9" width="19.7109375" style="63" customWidth="1"/>
    <col min="10" max="10" width="17.28515625" style="63" bestFit="1" customWidth="1"/>
    <col min="11" max="12" width="12.5703125" style="63" bestFit="1" customWidth="1"/>
    <col min="13" max="13" width="18.140625" style="63" bestFit="1" customWidth="1"/>
    <col min="14" max="14" width="11.42578125" style="63" bestFit="1" customWidth="1"/>
    <col min="15" max="15" width="9.28515625" style="63" customWidth="1"/>
    <col min="16" max="16384" width="8.85546875" style="63"/>
  </cols>
  <sheetData>
    <row r="1" spans="1:14" ht="15.75" x14ac:dyDescent="0.25">
      <c r="A1" s="60" t="str">
        <f>+Financial_Results!A1</f>
        <v>2013 ACD</v>
      </c>
      <c r="B1" s="73"/>
      <c r="C1" s="73"/>
      <c r="D1" s="73"/>
      <c r="E1" s="73"/>
      <c r="F1" s="62"/>
      <c r="G1" s="62"/>
      <c r="H1" s="62"/>
      <c r="I1" s="62"/>
      <c r="J1" s="62"/>
    </row>
    <row r="2" spans="1:14" ht="15.75" x14ac:dyDescent="0.25">
      <c r="A2" s="64">
        <f ca="1">NOW()</f>
        <v>41706.557639120372</v>
      </c>
      <c r="B2" s="73"/>
      <c r="C2" s="73"/>
      <c r="D2" s="73"/>
      <c r="E2" s="73"/>
      <c r="F2" s="62"/>
      <c r="G2" s="62"/>
      <c r="H2" s="62"/>
      <c r="I2" s="62"/>
      <c r="J2" s="62"/>
    </row>
    <row r="3" spans="1:14" ht="15.75" x14ac:dyDescent="0.25">
      <c r="A3" s="65"/>
      <c r="B3" s="66" t="s">
        <v>321</v>
      </c>
      <c r="C3" s="66"/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</row>
    <row r="4" spans="1:14" ht="15.75" x14ac:dyDescent="0.25">
      <c r="A4" s="65"/>
      <c r="B4" s="18" t="s">
        <v>228</v>
      </c>
      <c r="C4" s="18"/>
      <c r="D4" s="18"/>
      <c r="E4" s="18"/>
      <c r="F4" s="67"/>
      <c r="G4" s="67"/>
      <c r="H4" s="67"/>
      <c r="I4" s="67"/>
      <c r="J4" s="67"/>
      <c r="K4" s="67"/>
      <c r="L4" s="67"/>
      <c r="M4" s="67"/>
      <c r="N4" s="67"/>
    </row>
    <row r="5" spans="1:14" ht="15.75" x14ac:dyDescent="0.25">
      <c r="A5" s="68"/>
      <c r="B5" s="18" t="s">
        <v>322</v>
      </c>
      <c r="C5" s="18"/>
      <c r="D5" s="18"/>
      <c r="E5" s="18"/>
      <c r="F5" s="67"/>
      <c r="G5" s="67"/>
      <c r="H5" s="67"/>
      <c r="I5" s="67"/>
      <c r="J5" s="67"/>
      <c r="K5" s="67"/>
      <c r="L5" s="67"/>
      <c r="M5" s="67"/>
      <c r="N5" s="67"/>
    </row>
    <row r="6" spans="1:14" ht="15.75" x14ac:dyDescent="0.25">
      <c r="A6" s="68"/>
      <c r="B6" s="20"/>
      <c r="C6" s="20"/>
      <c r="D6" s="20"/>
      <c r="E6" s="20"/>
      <c r="F6" s="69"/>
      <c r="G6" s="69"/>
      <c r="H6" s="69"/>
      <c r="I6" s="69"/>
      <c r="J6" s="135" t="s">
        <v>13</v>
      </c>
      <c r="K6" s="68"/>
      <c r="L6" s="136"/>
      <c r="M6" s="135" t="s">
        <v>13</v>
      </c>
      <c r="N6" s="136"/>
    </row>
    <row r="7" spans="1:14" ht="15.75" x14ac:dyDescent="0.25">
      <c r="D7" s="70" t="s">
        <v>84</v>
      </c>
      <c r="E7" s="70"/>
      <c r="F7" s="60" t="s">
        <v>12</v>
      </c>
      <c r="G7" s="60"/>
      <c r="H7" s="70" t="s">
        <v>14</v>
      </c>
      <c r="I7" s="70"/>
      <c r="J7" s="135" t="s">
        <v>0</v>
      </c>
      <c r="L7" s="136"/>
      <c r="M7" s="135" t="s">
        <v>0</v>
      </c>
      <c r="N7" s="136"/>
    </row>
    <row r="8" spans="1:14" ht="15.75" x14ac:dyDescent="0.25">
      <c r="B8" s="60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60" t="s">
        <v>1</v>
      </c>
      <c r="I8" s="60" t="s">
        <v>4</v>
      </c>
      <c r="J8" s="135" t="s">
        <v>1</v>
      </c>
      <c r="K8" s="60" t="s">
        <v>15</v>
      </c>
      <c r="L8" s="135" t="s">
        <v>16</v>
      </c>
      <c r="M8" s="135" t="s">
        <v>16</v>
      </c>
      <c r="N8" s="135" t="s">
        <v>1</v>
      </c>
    </row>
    <row r="9" spans="1:14" ht="15.75" x14ac:dyDescent="0.25">
      <c r="A9" s="75" t="s">
        <v>86</v>
      </c>
      <c r="B9" s="71" t="s">
        <v>5</v>
      </c>
      <c r="C9" s="72" t="s">
        <v>7</v>
      </c>
      <c r="D9" s="71" t="s">
        <v>5</v>
      </c>
      <c r="E9" s="71" t="s">
        <v>5</v>
      </c>
      <c r="F9" s="71" t="s">
        <v>5</v>
      </c>
      <c r="G9" s="72" t="s">
        <v>7</v>
      </c>
      <c r="H9" s="71" t="s">
        <v>5</v>
      </c>
      <c r="I9" s="72" t="s">
        <v>7</v>
      </c>
      <c r="J9" s="137" t="s">
        <v>6</v>
      </c>
      <c r="K9" s="72" t="s">
        <v>17</v>
      </c>
      <c r="L9" s="137" t="s">
        <v>17</v>
      </c>
      <c r="M9" s="137" t="s">
        <v>17</v>
      </c>
      <c r="N9" s="137" t="s">
        <v>18</v>
      </c>
    </row>
    <row r="12" spans="1:14" ht="15.75" x14ac:dyDescent="0.25">
      <c r="A12" s="479" t="s">
        <v>398</v>
      </c>
    </row>
  </sheetData>
  <phoneticPr fontId="19" type="noConversion"/>
  <printOptions horizontalCentered="1" headings="1" gridLines="1"/>
  <pageMargins left="0.25" right="0.25" top="0.5" bottom="0.25" header="0.5" footer="0.5"/>
  <pageSetup scale="4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92D050"/>
    <pageSetUpPr fitToPage="1"/>
  </sheetPr>
  <dimension ref="A1:Q159"/>
  <sheetViews>
    <sheetView zoomScale="85" zoomScaleNormal="85" workbookViewId="0">
      <pane ySplit="9" topLeftCell="A10" activePane="bottomLeft" state="frozen"/>
      <selection pane="bottomLeft" activeCell="H22" sqref="H22"/>
    </sheetView>
  </sheetViews>
  <sheetFormatPr defaultColWidth="8.85546875" defaultRowHeight="15" x14ac:dyDescent="0.2"/>
  <cols>
    <col min="1" max="1" width="57.28515625" style="124" customWidth="1"/>
    <col min="2" max="2" width="24.7109375" style="124" customWidth="1"/>
    <col min="3" max="3" width="9.28515625" style="124" hidden="1" customWidth="1"/>
    <col min="4" max="4" width="20.140625" style="124" customWidth="1"/>
    <col min="5" max="5" width="23.5703125" style="124" customWidth="1"/>
    <col min="6" max="6" width="19.28515625" style="124" customWidth="1"/>
    <col min="7" max="7" width="9.28515625" style="124" customWidth="1"/>
    <col min="8" max="8" width="23.42578125" style="124" bestFit="1" customWidth="1"/>
    <col min="9" max="9" width="9.28515625" style="124" bestFit="1" customWidth="1"/>
    <col min="10" max="10" width="18.42578125" style="124" customWidth="1"/>
    <col min="11" max="11" width="13.5703125" style="124" bestFit="1" customWidth="1"/>
    <col min="12" max="12" width="13.7109375" style="124" customWidth="1"/>
    <col min="13" max="13" width="18.140625" style="124" bestFit="1" customWidth="1"/>
    <col min="14" max="14" width="11.7109375" style="124" bestFit="1" customWidth="1"/>
    <col min="15" max="16384" width="8.85546875" style="124"/>
  </cols>
  <sheetData>
    <row r="1" spans="1:14" ht="15.75" x14ac:dyDescent="0.25">
      <c r="A1" s="60" t="str">
        <f>+Financial_Results!A1</f>
        <v>2013 ACD</v>
      </c>
      <c r="B1" s="140"/>
      <c r="C1" s="140"/>
      <c r="D1" s="140"/>
      <c r="E1" s="140"/>
      <c r="F1" s="224"/>
      <c r="G1" s="224"/>
      <c r="H1" s="224"/>
      <c r="I1" s="224"/>
      <c r="J1" s="224"/>
    </row>
    <row r="2" spans="1:14" ht="15.75" x14ac:dyDescent="0.25">
      <c r="A2" s="225">
        <f ca="1">NOW()</f>
        <v>41706.557639120372</v>
      </c>
      <c r="B2" s="140"/>
      <c r="C2" s="140"/>
      <c r="D2" s="140"/>
      <c r="E2" s="140"/>
      <c r="F2" s="224"/>
      <c r="G2" s="224"/>
      <c r="H2" s="224"/>
      <c r="I2" s="224"/>
      <c r="J2" s="224"/>
    </row>
    <row r="3" spans="1:14" ht="15.75" x14ac:dyDescent="0.25">
      <c r="A3" s="226"/>
      <c r="B3" s="227" t="s">
        <v>321</v>
      </c>
      <c r="C3" s="227"/>
      <c r="D3" s="227"/>
      <c r="E3" s="227"/>
      <c r="F3" s="228"/>
      <c r="G3" s="228"/>
      <c r="H3" s="228"/>
      <c r="I3" s="228"/>
      <c r="J3" s="228"/>
      <c r="K3" s="228"/>
      <c r="L3" s="228"/>
      <c r="M3" s="228"/>
      <c r="N3" s="228"/>
    </row>
    <row r="4" spans="1:14" ht="15.75" x14ac:dyDescent="0.25">
      <c r="A4" s="226"/>
      <c r="B4" s="229" t="s">
        <v>83</v>
      </c>
      <c r="C4" s="229"/>
      <c r="D4" s="229"/>
      <c r="E4" s="229"/>
      <c r="F4" s="228"/>
      <c r="G4" s="228"/>
      <c r="H4" s="228"/>
      <c r="I4" s="228"/>
      <c r="J4" s="228"/>
      <c r="K4" s="228"/>
      <c r="L4" s="228"/>
      <c r="M4" s="228"/>
      <c r="N4" s="228"/>
    </row>
    <row r="5" spans="1:14" ht="15.75" x14ac:dyDescent="0.25">
      <c r="A5" s="230"/>
      <c r="B5" s="229" t="s">
        <v>322</v>
      </c>
      <c r="C5" s="229"/>
      <c r="D5" s="229"/>
      <c r="E5" s="229"/>
      <c r="F5" s="228"/>
      <c r="G5" s="228"/>
      <c r="H5" s="228"/>
      <c r="I5" s="228"/>
      <c r="J5" s="228"/>
      <c r="K5" s="228"/>
      <c r="L5" s="228"/>
      <c r="M5" s="228"/>
      <c r="N5" s="228"/>
    </row>
    <row r="6" spans="1:14" ht="15.75" x14ac:dyDescent="0.25">
      <c r="A6" s="230"/>
      <c r="B6" s="231"/>
      <c r="C6" s="231"/>
      <c r="D6" s="231"/>
      <c r="E6" s="231"/>
      <c r="F6" s="182"/>
      <c r="G6" s="182"/>
      <c r="H6" s="182"/>
      <c r="I6" s="182"/>
      <c r="J6" s="138" t="s">
        <v>13</v>
      </c>
      <c r="K6" s="230"/>
      <c r="L6" s="232"/>
      <c r="M6" s="138" t="s">
        <v>13</v>
      </c>
      <c r="N6" s="232"/>
    </row>
    <row r="7" spans="1:14" ht="15.75" x14ac:dyDescent="0.25">
      <c r="D7" s="132" t="s">
        <v>84</v>
      </c>
      <c r="E7" s="132"/>
      <c r="F7" s="75" t="s">
        <v>12</v>
      </c>
      <c r="G7" s="75"/>
      <c r="H7" s="132" t="s">
        <v>14</v>
      </c>
      <c r="I7" s="132"/>
      <c r="J7" s="138" t="s">
        <v>0</v>
      </c>
      <c r="L7" s="232"/>
      <c r="M7" s="138" t="s">
        <v>0</v>
      </c>
      <c r="N7" s="232"/>
    </row>
    <row r="8" spans="1:14" ht="15.75" x14ac:dyDescent="0.25">
      <c r="B8" s="75" t="s">
        <v>2</v>
      </c>
      <c r="C8" s="75" t="s">
        <v>4</v>
      </c>
      <c r="D8" s="75" t="s">
        <v>3</v>
      </c>
      <c r="E8" s="75" t="s">
        <v>85</v>
      </c>
      <c r="F8" s="75" t="s">
        <v>3</v>
      </c>
      <c r="G8" s="75" t="s">
        <v>4</v>
      </c>
      <c r="H8" s="75" t="s">
        <v>1</v>
      </c>
      <c r="I8" s="75" t="s">
        <v>4</v>
      </c>
      <c r="J8" s="138" t="s">
        <v>1</v>
      </c>
      <c r="K8" s="75" t="s">
        <v>15</v>
      </c>
      <c r="L8" s="138" t="s">
        <v>16</v>
      </c>
      <c r="M8" s="138" t="s">
        <v>16</v>
      </c>
      <c r="N8" s="138" t="s">
        <v>1</v>
      </c>
    </row>
    <row r="9" spans="1:14" ht="15.75" x14ac:dyDescent="0.25">
      <c r="A9" s="75" t="s">
        <v>86</v>
      </c>
      <c r="B9" s="74" t="s">
        <v>5</v>
      </c>
      <c r="C9" s="75" t="s">
        <v>7</v>
      </c>
      <c r="D9" s="74" t="s">
        <v>5</v>
      </c>
      <c r="E9" s="74" t="s">
        <v>5</v>
      </c>
      <c r="F9" s="74" t="s">
        <v>5</v>
      </c>
      <c r="G9" s="75" t="s">
        <v>7</v>
      </c>
      <c r="H9" s="74" t="s">
        <v>5</v>
      </c>
      <c r="I9" s="75" t="s">
        <v>7</v>
      </c>
      <c r="J9" s="138" t="s">
        <v>6</v>
      </c>
      <c r="K9" s="75" t="s">
        <v>17</v>
      </c>
      <c r="L9" s="138" t="s">
        <v>17</v>
      </c>
      <c r="M9" s="138" t="s">
        <v>17</v>
      </c>
      <c r="N9" s="138" t="s">
        <v>18</v>
      </c>
    </row>
    <row r="10" spans="1:14" ht="15.75" x14ac:dyDescent="0.25">
      <c r="A10" s="140" t="s">
        <v>352</v>
      </c>
      <c r="B10" s="74"/>
      <c r="C10" s="74"/>
      <c r="D10" s="74"/>
      <c r="E10" s="74"/>
      <c r="F10" s="74"/>
      <c r="G10" s="74"/>
      <c r="H10" s="74"/>
      <c r="I10" s="74"/>
      <c r="J10" s="138"/>
      <c r="K10" s="75"/>
      <c r="L10" s="138"/>
      <c r="M10" s="138"/>
      <c r="N10" s="138"/>
    </row>
    <row r="11" spans="1:14" ht="15.75" x14ac:dyDescent="0.25">
      <c r="A11" s="78" t="s">
        <v>21</v>
      </c>
      <c r="B11" s="181"/>
      <c r="C11" s="77"/>
      <c r="D11" s="77"/>
      <c r="E11" s="77"/>
      <c r="F11" s="77"/>
      <c r="G11" s="77"/>
      <c r="H11" s="78"/>
      <c r="I11" s="77"/>
      <c r="J11" s="78"/>
      <c r="K11" s="78"/>
    </row>
    <row r="12" spans="1:14" ht="15.75" x14ac:dyDescent="0.25">
      <c r="A12" s="140" t="s">
        <v>87</v>
      </c>
      <c r="B12" s="84"/>
    </row>
    <row r="13" spans="1:14" x14ac:dyDescent="0.2">
      <c r="A13" s="124" t="s">
        <v>330</v>
      </c>
      <c r="B13" s="84">
        <f>+B53</f>
        <v>21448767.243999999</v>
      </c>
      <c r="C13" s="197"/>
      <c r="D13" s="84">
        <f>+D53</f>
        <v>10126167.507999999</v>
      </c>
      <c r="E13" s="316">
        <f>+[5]FCM!$S$11/1000</f>
        <v>95475.382588933935</v>
      </c>
      <c r="F13" s="84">
        <f>+D13+E13</f>
        <v>10221642.890588934</v>
      </c>
      <c r="G13" s="197">
        <f>+F13/$F$39</f>
        <v>0.34736531934457515</v>
      </c>
      <c r="H13" s="224">
        <f>+[4]CS21!$K$9</f>
        <v>5905238.2710575033</v>
      </c>
      <c r="I13" s="197">
        <f>+H13/$H$39</f>
        <v>0.42221985584794741</v>
      </c>
      <c r="J13" s="207">
        <f>+F13-H13</f>
        <v>4316404.6195314303</v>
      </c>
      <c r="K13" s="84">
        <f>+F13/B13*100</f>
        <v>47.656085658947603</v>
      </c>
      <c r="L13" s="84">
        <f>+H13/B13*100</f>
        <v>27.531830635671678</v>
      </c>
      <c r="M13" s="84">
        <f>+J13/B13*100</f>
        <v>20.124255023275921</v>
      </c>
      <c r="N13" s="233">
        <f>+F13/H13</f>
        <v>1.7309450392013486</v>
      </c>
    </row>
    <row r="14" spans="1:14" x14ac:dyDescent="0.2">
      <c r="A14" s="124" t="s">
        <v>331</v>
      </c>
      <c r="B14" s="84">
        <f>+B70</f>
        <v>1049160.5430000001</v>
      </c>
      <c r="C14" s="197"/>
      <c r="D14" s="84">
        <f>+D70</f>
        <v>350788.34100000001</v>
      </c>
      <c r="E14" s="316">
        <f>+[5]FCM!$S$12/1000</f>
        <v>4485.1567823114246</v>
      </c>
      <c r="F14" s="84">
        <f>+D14+E14</f>
        <v>355273.49778231146</v>
      </c>
      <c r="G14" s="197">
        <f>+F14/$F$39</f>
        <v>1.2073371505224481E-2</v>
      </c>
      <c r="H14" s="224">
        <f>+[4]CS21!$K$10</f>
        <v>291436.10746388033</v>
      </c>
      <c r="I14" s="197">
        <f>+H14/$H$39</f>
        <v>2.0837450689394587E-2</v>
      </c>
      <c r="J14" s="207">
        <f>+F14-H14</f>
        <v>63837.390318431135</v>
      </c>
      <c r="K14" s="84">
        <f>+F14/B14*100</f>
        <v>33.862643820595096</v>
      </c>
      <c r="L14" s="84">
        <f>+H14/B14*100</f>
        <v>27.778027815508526</v>
      </c>
      <c r="M14" s="84">
        <f>+J14/B14*100</f>
        <v>6.0846160050865672</v>
      </c>
      <c r="N14" s="233">
        <f>+F14/H14</f>
        <v>1.2190442044877468</v>
      </c>
    </row>
    <row r="15" spans="1:14" s="140" customFormat="1" ht="15.75" x14ac:dyDescent="0.25">
      <c r="A15" s="140" t="s">
        <v>332</v>
      </c>
      <c r="B15" s="139">
        <f>+B13+B14</f>
        <v>22497927.787</v>
      </c>
      <c r="C15" s="190"/>
      <c r="D15" s="139">
        <f>+D13+D14</f>
        <v>10476955.848999999</v>
      </c>
      <c r="E15" s="139">
        <f>+E13+E14</f>
        <v>99960.539371245366</v>
      </c>
      <c r="F15" s="139">
        <f>+F13+F14</f>
        <v>10576916.388371246</v>
      </c>
      <c r="G15" s="190">
        <f>+F15/$F$39</f>
        <v>0.35943869084979962</v>
      </c>
      <c r="H15" s="315">
        <f>+H13+H14</f>
        <v>6196674.3785213837</v>
      </c>
      <c r="I15" s="190">
        <f>+H15/$H$39</f>
        <v>0.44305730653734204</v>
      </c>
      <c r="J15" s="235">
        <f>+F15-H15</f>
        <v>4380242.0098498622</v>
      </c>
      <c r="K15" s="139">
        <f>+F15/B15*100</f>
        <v>47.012847087556729</v>
      </c>
      <c r="L15" s="139">
        <f>+H15/B15*100</f>
        <v>27.543311709365582</v>
      </c>
      <c r="M15" s="139">
        <f>+J15/B15*100</f>
        <v>19.46953537819115</v>
      </c>
      <c r="N15" s="234">
        <f>+F15/H15</f>
        <v>1.7068698050413054</v>
      </c>
    </row>
    <row r="16" spans="1:14" ht="15.75" x14ac:dyDescent="0.25">
      <c r="B16" s="84"/>
      <c r="C16" s="197"/>
      <c r="D16" s="84"/>
      <c r="E16" s="316"/>
      <c r="F16" s="84"/>
      <c r="G16" s="197"/>
      <c r="H16" s="241"/>
      <c r="I16" s="197"/>
      <c r="J16" s="207"/>
      <c r="K16" s="84"/>
      <c r="L16" s="84"/>
      <c r="M16" s="84"/>
      <c r="N16" s="233"/>
    </row>
    <row r="17" spans="1:14" x14ac:dyDescent="0.2">
      <c r="A17" s="124" t="s">
        <v>68</v>
      </c>
      <c r="B17" s="84">
        <f>+B54+B55</f>
        <v>38724894.410000004</v>
      </c>
      <c r="C17" s="197"/>
      <c r="D17" s="84">
        <f>+D54+D55</f>
        <v>14319589.538999999</v>
      </c>
      <c r="E17" s="316">
        <f>+[5]FCM!$S$13/1000</f>
        <v>26696.231365479081</v>
      </c>
      <c r="F17" s="84">
        <f>+D17+E17</f>
        <v>14346285.770365478</v>
      </c>
      <c r="G17" s="197">
        <f>+F17/$F$39</f>
        <v>0.48753436129330607</v>
      </c>
      <c r="H17" s="224">
        <f>+[4]CS21!$K$12</f>
        <v>4604618.4604997579</v>
      </c>
      <c r="I17" s="197">
        <f>+H17/$H$39</f>
        <v>0.32922657027331892</v>
      </c>
      <c r="J17" s="207">
        <f>+F17-H17</f>
        <v>9741667.3098657206</v>
      </c>
      <c r="K17" s="84">
        <f>+F17/B17*100</f>
        <v>37.046674985021546</v>
      </c>
      <c r="L17" s="84">
        <f>+H17/B17*100</f>
        <v>11.890590098834972</v>
      </c>
      <c r="M17" s="84">
        <f>+J17/B17*100</f>
        <v>25.156084886186576</v>
      </c>
      <c r="N17" s="233">
        <f>+F17/H17</f>
        <v>3.1156296430276695</v>
      </c>
    </row>
    <row r="18" spans="1:14" x14ac:dyDescent="0.2">
      <c r="A18" s="124" t="s">
        <v>69</v>
      </c>
      <c r="B18" s="84">
        <f>+B71+B72</f>
        <v>2419290.077</v>
      </c>
      <c r="C18" s="197"/>
      <c r="D18" s="84">
        <f>+D71+D72</f>
        <v>586936.08499999996</v>
      </c>
      <c r="E18" s="316">
        <f>+[5]FCM!$S$14/1000</f>
        <v>1445.2935481825377</v>
      </c>
      <c r="F18" s="84">
        <f>+D18+E18</f>
        <v>588381.37854818255</v>
      </c>
      <c r="G18" s="197">
        <f>+F18/$F$39</f>
        <v>1.9995150255539298E-2</v>
      </c>
      <c r="H18" s="224">
        <f>+[4]CS21!$K$13</f>
        <v>195387.59745863118</v>
      </c>
      <c r="I18" s="197">
        <f>+H18/$H$39</f>
        <v>1.3970058352732082E-2</v>
      </c>
      <c r="J18" s="207">
        <f>+F18-H18</f>
        <v>392993.7810895514</v>
      </c>
      <c r="K18" s="84">
        <f>+F18/B18*100</f>
        <v>24.320414659733363</v>
      </c>
      <c r="L18" s="84">
        <f>+H18/B18*100</f>
        <v>8.0762368810654692</v>
      </c>
      <c r="M18" s="84">
        <f>+J18/B18*100</f>
        <v>16.244177778667897</v>
      </c>
      <c r="N18" s="233">
        <f>+F18/H18</f>
        <v>3.0113547952948179</v>
      </c>
    </row>
    <row r="19" spans="1:14" s="140" customFormat="1" ht="15.75" x14ac:dyDescent="0.25">
      <c r="A19" s="140" t="s">
        <v>70</v>
      </c>
      <c r="B19" s="139">
        <f>+B17+B18</f>
        <v>41144184.487000003</v>
      </c>
      <c r="C19" s="190"/>
      <c r="D19" s="139">
        <f>+D17+D18</f>
        <v>14906525.623999998</v>
      </c>
      <c r="E19" s="139">
        <f>+E17+E18</f>
        <v>28141.524913661618</v>
      </c>
      <c r="F19" s="139">
        <f>+F17+F18</f>
        <v>14934667.148913661</v>
      </c>
      <c r="G19" s="190">
        <f>+F19/$F$39</f>
        <v>0.5075295115488454</v>
      </c>
      <c r="H19" s="315">
        <f>+H17+H18</f>
        <v>4800006.0579583887</v>
      </c>
      <c r="I19" s="190">
        <f>+H19/$H$39</f>
        <v>0.34319662862605099</v>
      </c>
      <c r="J19" s="235">
        <f>+F19-H19</f>
        <v>10134661.090955272</v>
      </c>
      <c r="K19" s="139">
        <f>+F19/B19*100</f>
        <v>36.298367157167611</v>
      </c>
      <c r="L19" s="139">
        <f>+H19/B19*100</f>
        <v>11.666305014442582</v>
      </c>
      <c r="M19" s="139">
        <f>+J19/B19*100</f>
        <v>24.632062142725029</v>
      </c>
      <c r="N19" s="234">
        <f>+F19/H19</f>
        <v>3.1113850625567543</v>
      </c>
    </row>
    <row r="20" spans="1:14" ht="15.75" x14ac:dyDescent="0.25">
      <c r="B20" s="84"/>
      <c r="C20" s="197"/>
      <c r="D20" s="84"/>
      <c r="E20" s="316"/>
      <c r="F20" s="84"/>
      <c r="G20" s="197"/>
      <c r="H20" s="241"/>
      <c r="I20" s="197"/>
      <c r="J20" s="207"/>
      <c r="K20" s="84"/>
      <c r="L20" s="84"/>
      <c r="M20" s="84"/>
      <c r="N20" s="233"/>
    </row>
    <row r="21" spans="1:14" x14ac:dyDescent="0.2">
      <c r="A21" s="124" t="s">
        <v>333</v>
      </c>
      <c r="B21" s="84">
        <f>+B59</f>
        <v>1268871.2889999999</v>
      </c>
      <c r="D21" s="84">
        <f>+D59</f>
        <v>1934265.9300000002</v>
      </c>
      <c r="E21" s="316">
        <f>+[5]FCM!$S$15/1000</f>
        <v>5646.7607579353353</v>
      </c>
      <c r="F21" s="84">
        <f>+D21+E21</f>
        <v>1939912.6907579354</v>
      </c>
      <c r="G21" s="197">
        <f>+F21/$F$39</f>
        <v>6.5924665784024367E-2</v>
      </c>
      <c r="H21" s="224">
        <f>+[4]CS21!$K$15</f>
        <v>1192084.7234404597</v>
      </c>
      <c r="I21" s="197">
        <f>+H21/$H$39</f>
        <v>8.5233112871402714E-2</v>
      </c>
      <c r="J21" s="207">
        <f>+F21-H21</f>
        <v>747827.9673174757</v>
      </c>
      <c r="K21" s="84">
        <f>+F21/B21*100</f>
        <v>152.88490704890839</v>
      </c>
      <c r="L21" s="84">
        <f>+H21/B21*100</f>
        <v>93.948435414591515</v>
      </c>
      <c r="M21" s="84">
        <f>+J21/B21*100</f>
        <v>58.936471634316867</v>
      </c>
      <c r="N21" s="233">
        <f>+F21/H21</f>
        <v>1.627327867401219</v>
      </c>
    </row>
    <row r="22" spans="1:14" x14ac:dyDescent="0.2">
      <c r="A22" s="124" t="s">
        <v>92</v>
      </c>
      <c r="B22" s="84">
        <f>+B60</f>
        <v>625560.67300000007</v>
      </c>
      <c r="D22" s="84">
        <f>+D60</f>
        <v>579126.76699999999</v>
      </c>
      <c r="E22" s="316">
        <f>+[5]FCM!$S$16/1000+[5]FCM!$S$17/1000</f>
        <v>431.25004506765822</v>
      </c>
      <c r="F22" s="84">
        <f>+D22+E22</f>
        <v>579558.01704506762</v>
      </c>
      <c r="G22" s="197">
        <f>+F22/$F$39</f>
        <v>1.9695303174299156E-2</v>
      </c>
      <c r="H22" s="224">
        <f>+[4]CS21!$K$16</f>
        <v>493577.54122067388</v>
      </c>
      <c r="I22" s="197">
        <f>+H22/$H$39</f>
        <v>3.5290402984307953E-2</v>
      </c>
      <c r="J22" s="207">
        <f>+F22-H22</f>
        <v>85980.475824393739</v>
      </c>
      <c r="K22" s="84">
        <f>+F22/B22*100</f>
        <v>92.646171995704648</v>
      </c>
      <c r="L22" s="84">
        <f>+H22/B22*100</f>
        <v>78.901625777340683</v>
      </c>
      <c r="M22" s="84">
        <f>+J22/B22*100</f>
        <v>13.744546218363975</v>
      </c>
      <c r="N22" s="233">
        <f>+F22/H22</f>
        <v>1.1741985172415952</v>
      </c>
    </row>
    <row r="23" spans="1:14" ht="15.75" x14ac:dyDescent="0.25">
      <c r="A23" s="140" t="s">
        <v>169</v>
      </c>
      <c r="B23" s="139">
        <f>+B21+B22</f>
        <v>1894431.9619999998</v>
      </c>
      <c r="C23" s="140"/>
      <c r="D23" s="139">
        <f>+D21+D22</f>
        <v>2513392.6970000002</v>
      </c>
      <c r="E23" s="139">
        <f>+E21+E22</f>
        <v>6078.0108030029933</v>
      </c>
      <c r="F23" s="139">
        <f>SUM(F21:F22)</f>
        <v>2519470.707803003</v>
      </c>
      <c r="G23" s="190">
        <f>+F23/$F$39</f>
        <v>8.5619968958323522E-2</v>
      </c>
      <c r="H23" s="139">
        <f>SUM(H21:H22)</f>
        <v>1685662.2646611335</v>
      </c>
      <c r="I23" s="190">
        <f>+H23/$H$39</f>
        <v>0.12052351585571065</v>
      </c>
      <c r="J23" s="139">
        <f>+F23-H23</f>
        <v>833808.4431418695</v>
      </c>
      <c r="K23" s="139">
        <f>+F23/B23*100</f>
        <v>132.99346497211405</v>
      </c>
      <c r="L23" s="139">
        <f>+H23/B23*100</f>
        <v>88.979826062559525</v>
      </c>
      <c r="M23" s="139">
        <f>+J23/B23*100</f>
        <v>44.013638909554551</v>
      </c>
      <c r="N23" s="234">
        <f>+F23/H23</f>
        <v>1.4946473920797467</v>
      </c>
    </row>
    <row r="24" spans="1:14" x14ac:dyDescent="0.2">
      <c r="B24" s="84"/>
      <c r="D24" s="84"/>
      <c r="E24" s="316"/>
      <c r="F24" s="84"/>
      <c r="G24" s="197"/>
      <c r="H24" s="224"/>
      <c r="I24" s="197"/>
      <c r="J24" s="207"/>
      <c r="K24" s="84"/>
      <c r="L24" s="84"/>
      <c r="M24" s="84"/>
      <c r="N24" s="233"/>
    </row>
    <row r="25" spans="1:14" x14ac:dyDescent="0.2">
      <c r="A25" s="124" t="s">
        <v>72</v>
      </c>
      <c r="B25" s="84">
        <f>+B66</f>
        <v>247186.73199999999</v>
      </c>
      <c r="D25" s="84">
        <f>+D66</f>
        <v>578737.21200000006</v>
      </c>
      <c r="E25" s="316">
        <f>+[5]FCM!$S$18/1000</f>
        <v>1646.2846097861138</v>
      </c>
      <c r="F25" s="84">
        <f>+D25+E25</f>
        <v>580383.49660978618</v>
      </c>
      <c r="G25" s="197">
        <f>+F25/$F$39</f>
        <v>1.9723355707114101E-2</v>
      </c>
      <c r="H25" s="224">
        <f>+[4]CS21!$K$18</f>
        <v>583502.8690599472</v>
      </c>
      <c r="I25" s="197">
        <f>+H25/$H$39</f>
        <v>4.1719992649379686E-2</v>
      </c>
      <c r="J25" s="207">
        <f>+F25-H25</f>
        <v>-3119.3724501610268</v>
      </c>
      <c r="K25" s="84">
        <f>+F25/B25*100</f>
        <v>234.79557009952549</v>
      </c>
      <c r="L25" s="84">
        <f>+H25/B25*100</f>
        <v>236.05751989145892</v>
      </c>
      <c r="M25" s="84">
        <f>+J25/B25*100</f>
        <v>-1.2619497919334226</v>
      </c>
      <c r="N25" s="233">
        <f>+F25/H25</f>
        <v>0.99465405807654983</v>
      </c>
    </row>
    <row r="26" spans="1:14" x14ac:dyDescent="0.2">
      <c r="A26" s="124" t="s">
        <v>334</v>
      </c>
      <c r="B26" s="84">
        <f>+'[3]Summary Category RPW Data'!$F$27/1000</f>
        <v>213535.35</v>
      </c>
      <c r="C26" s="197">
        <f>B26/B$102</f>
        <v>3.2157524977734983E-3</v>
      </c>
      <c r="D26" s="84">
        <f>+'[3]Summary Category RPW Data'!$D$27/1000</f>
        <v>75356.782999999996</v>
      </c>
      <c r="E26" s="316">
        <f>+[5]FCM!$S$19/1000</f>
        <v>147.20735059864955</v>
      </c>
      <c r="F26" s="84">
        <f>D26+E26</f>
        <v>75503.990350598644</v>
      </c>
      <c r="G26" s="197">
        <f>+F26/$F$39</f>
        <v>2.5658759556228526E-3</v>
      </c>
      <c r="H26" s="224">
        <f>+[4]CS21!$K$19</f>
        <v>22835.850999999999</v>
      </c>
      <c r="I26" s="197">
        <f>+H26/$H$39</f>
        <v>1.6327452466466815E-3</v>
      </c>
      <c r="J26" s="207">
        <f>+F26-H26</f>
        <v>52668.139350598649</v>
      </c>
      <c r="K26" s="84">
        <f>+F26/B26*100</f>
        <v>35.359012149790956</v>
      </c>
      <c r="L26" s="84">
        <f>+H26/B26*100</f>
        <v>10.694178270717236</v>
      </c>
      <c r="M26" s="84">
        <f>+J26/B26*100</f>
        <v>24.664833879073722</v>
      </c>
      <c r="N26" s="233">
        <f>+F26/H26</f>
        <v>3.3063795323677074</v>
      </c>
    </row>
    <row r="27" spans="1:14" s="140" customFormat="1" ht="15.75" x14ac:dyDescent="0.25">
      <c r="A27" s="140" t="s">
        <v>355</v>
      </c>
      <c r="B27" s="139">
        <f>SUM(B25:B26)</f>
        <v>460722.08199999999</v>
      </c>
      <c r="C27" s="190"/>
      <c r="D27" s="139">
        <f>SUM(D25:D26)</f>
        <v>654093.99500000011</v>
      </c>
      <c r="E27" s="139">
        <f>SUM(E25:E26)</f>
        <v>1793.4919603847634</v>
      </c>
      <c r="F27" s="139">
        <f>SUM(F25:F26)</f>
        <v>655887.48696038476</v>
      </c>
      <c r="G27" s="190">
        <f>+F27/$F$39</f>
        <v>2.2289231662736952E-2</v>
      </c>
      <c r="H27" s="139">
        <f>SUM(H25:H26)</f>
        <v>606338.72005994723</v>
      </c>
      <c r="I27" s="190">
        <f>+H27/$H$39</f>
        <v>4.3352737896026373E-2</v>
      </c>
      <c r="J27" s="139">
        <f>SUM(J25:J26)</f>
        <v>49548.766900437622</v>
      </c>
      <c r="K27" s="139">
        <f>+F27/B27*100</f>
        <v>142.36076641110179</v>
      </c>
      <c r="L27" s="139">
        <f>+H27/B27*100</f>
        <v>131.60617729192049</v>
      </c>
      <c r="M27" s="139">
        <f>+J27/B27*100</f>
        <v>10.754589119181317</v>
      </c>
      <c r="N27" s="234">
        <f>+F27/H27</f>
        <v>1.0817179659836647</v>
      </c>
    </row>
    <row r="28" spans="1:14" x14ac:dyDescent="0.2">
      <c r="B28" s="84"/>
      <c r="C28" s="197"/>
      <c r="D28" s="84"/>
      <c r="F28" s="84"/>
      <c r="G28" s="326"/>
      <c r="H28" s="84"/>
      <c r="I28" s="197"/>
      <c r="J28" s="84"/>
    </row>
    <row r="29" spans="1:14" s="140" customFormat="1" ht="15.75" x14ac:dyDescent="0.25">
      <c r="A29" s="320" t="s">
        <v>335</v>
      </c>
      <c r="B29" s="321">
        <f>+B15+B19+B23+B27</f>
        <v>65997266.318000004</v>
      </c>
      <c r="C29" s="322"/>
      <c r="D29" s="321">
        <f>+D27+D19+D15+D23</f>
        <v>28550968.164999999</v>
      </c>
      <c r="E29" s="321">
        <f>+E27+E19+E15+E23</f>
        <v>135973.56704829473</v>
      </c>
      <c r="F29" s="321">
        <f>+F27+F19+F15+F23</f>
        <v>28686941.732048295</v>
      </c>
      <c r="G29" s="190">
        <f>+F29/$F$39</f>
        <v>0.97487740301970549</v>
      </c>
      <c r="H29" s="321">
        <f>+H27+H19+H15+H23</f>
        <v>13288681.421200853</v>
      </c>
      <c r="I29" s="322">
        <f>+H29/H39</f>
        <v>0.95013018891513001</v>
      </c>
      <c r="J29" s="321">
        <f>+J27+J19+J15+J23</f>
        <v>15398260.310847443</v>
      </c>
      <c r="K29" s="321">
        <f>+F29/B29*100</f>
        <v>43.466863602840256</v>
      </c>
      <c r="L29" s="321">
        <f>+H29/B29*100</f>
        <v>20.135199778080075</v>
      </c>
      <c r="M29" s="321">
        <f>+J29/B29*100</f>
        <v>23.331663824760181</v>
      </c>
      <c r="N29" s="332">
        <f>+F29/H29</f>
        <v>2.1587500537322653</v>
      </c>
    </row>
    <row r="30" spans="1:14" x14ac:dyDescent="0.2">
      <c r="G30" s="197"/>
    </row>
    <row r="31" spans="1:14" ht="15.75" x14ac:dyDescent="0.25">
      <c r="A31" s="140" t="s">
        <v>337</v>
      </c>
      <c r="G31" s="197"/>
    </row>
    <row r="32" spans="1:14" x14ac:dyDescent="0.2">
      <c r="A32" s="124" t="s">
        <v>339</v>
      </c>
      <c r="B32" s="84">
        <f>+B92</f>
        <v>231474.951</v>
      </c>
      <c r="D32" s="84">
        <f>+D92</f>
        <v>457641.23499999999</v>
      </c>
      <c r="E32" s="224">
        <f>+[5]FCM!$S$31/1000</f>
        <v>180.60095170527146</v>
      </c>
      <c r="F32" s="84">
        <f>+D32+E32</f>
        <v>457821.83595170523</v>
      </c>
      <c r="G32" s="197">
        <f>+F32/$F$39</f>
        <v>1.5558304076021283E-2</v>
      </c>
      <c r="H32" s="316">
        <f>+'[1]ACR2013 Intl Products"Booked" '!$O$17</f>
        <v>321531.66603888967</v>
      </c>
      <c r="I32" s="331">
        <f>+H32/H39</f>
        <v>2.2989259273560041E-2</v>
      </c>
      <c r="J32" s="84">
        <f>+F32-H32</f>
        <v>136290.16991281556</v>
      </c>
      <c r="K32" s="84">
        <f>+F32/B32*100</f>
        <v>197.78461296734662</v>
      </c>
      <c r="L32" s="84">
        <f t="shared" ref="L32:L34" si="0">+H32/B32*100</f>
        <v>138.90559848909513</v>
      </c>
      <c r="M32" s="84">
        <f t="shared" ref="M32:M34" si="1">+J32/B32*100</f>
        <v>58.879014478251499</v>
      </c>
      <c r="N32" s="233">
        <f t="shared" ref="N32:N34" si="2">+F32/H32</f>
        <v>1.4238779078646988</v>
      </c>
    </row>
    <row r="33" spans="1:14" x14ac:dyDescent="0.2">
      <c r="A33" s="124" t="s">
        <v>340</v>
      </c>
      <c r="B33" s="84">
        <f>+B93</f>
        <v>223385.476</v>
      </c>
      <c r="D33" s="84">
        <f>+D93</f>
        <v>144810.693</v>
      </c>
      <c r="E33" s="124">
        <f>+[5]FCM!$P$28</f>
        <v>0</v>
      </c>
      <c r="F33" s="84">
        <f>+D33+E33</f>
        <v>144810.693</v>
      </c>
      <c r="G33" s="197">
        <f>+F33/$F$39</f>
        <v>4.9211475255868577E-3</v>
      </c>
      <c r="H33" s="316">
        <f>+'[1]ACR2013 Intl Products"Booked" '!$O$18</f>
        <v>227964.46031748367</v>
      </c>
      <c r="I33" s="331">
        <f>+H33/H39</f>
        <v>1.6299278226493397E-2</v>
      </c>
      <c r="J33" s="84">
        <f>+F33-H33</f>
        <v>-83153.767317483667</v>
      </c>
      <c r="K33" s="84">
        <f>+F33/B33*100</f>
        <v>64.825473702686025</v>
      </c>
      <c r="L33" s="84">
        <f t="shared" si="0"/>
        <v>102.04981290613703</v>
      </c>
      <c r="M33" s="84">
        <f t="shared" si="1"/>
        <v>-37.224339203451017</v>
      </c>
      <c r="N33" s="233">
        <f t="shared" si="2"/>
        <v>0.63523363597257088</v>
      </c>
    </row>
    <row r="34" spans="1:14" x14ac:dyDescent="0.2">
      <c r="A34" s="124" t="s">
        <v>259</v>
      </c>
      <c r="B34" s="84">
        <f>+B94</f>
        <v>164326.78599999999</v>
      </c>
      <c r="D34" s="84">
        <f>+D94</f>
        <v>136630.14499999999</v>
      </c>
      <c r="E34" s="224">
        <f>+'[5]Int''l'!$L$13</f>
        <v>0</v>
      </c>
      <c r="F34" s="319">
        <f>+D34+E34</f>
        <v>136630.14499999999</v>
      </c>
      <c r="G34" s="326">
        <f>+F34/$F$39</f>
        <v>4.64314537868639E-3</v>
      </c>
      <c r="H34" s="316">
        <f>+'[1]ACR2013 MD IB Intl NSAs'!$AB$67</f>
        <v>147991.48089352468</v>
      </c>
      <c r="I34" s="331">
        <f>+H34/H39</f>
        <v>1.0581273584816506E-2</v>
      </c>
      <c r="J34" s="84">
        <f>+F34-H34</f>
        <v>-11361.335893524694</v>
      </c>
      <c r="K34" s="84">
        <f>+F34/B34*100</f>
        <v>83.145388725609223</v>
      </c>
      <c r="L34" s="84">
        <f t="shared" si="0"/>
        <v>90.059256008040407</v>
      </c>
      <c r="M34" s="84">
        <f t="shared" si="1"/>
        <v>-6.9138672824311769</v>
      </c>
      <c r="N34" s="233">
        <f t="shared" si="2"/>
        <v>0.92322979792533577</v>
      </c>
    </row>
    <row r="35" spans="1:14" s="140" customFormat="1" ht="15.75" x14ac:dyDescent="0.25">
      <c r="A35" s="320" t="s">
        <v>338</v>
      </c>
      <c r="B35" s="321">
        <f>+B34+B33+B32</f>
        <v>619187.21299999999</v>
      </c>
      <c r="C35" s="320"/>
      <c r="D35" s="321">
        <f>+D34+D33+D32</f>
        <v>739082.07299999997</v>
      </c>
      <c r="E35" s="321">
        <f t="shared" ref="E35:H35" si="3">+E34+E33+E32</f>
        <v>180.60095170527146</v>
      </c>
      <c r="F35" s="321">
        <f t="shared" si="3"/>
        <v>739262.67395170522</v>
      </c>
      <c r="G35" s="190">
        <f>+F35/$F$39</f>
        <v>2.512259698029453E-2</v>
      </c>
      <c r="H35" s="321">
        <f t="shared" si="3"/>
        <v>697487.60724989802</v>
      </c>
      <c r="I35" s="332">
        <f>+H35/H39</f>
        <v>4.9869811084869944E-2</v>
      </c>
      <c r="J35" s="321">
        <f>+F35-H35</f>
        <v>41775.066701807198</v>
      </c>
      <c r="K35" s="321">
        <f>+F35/B35*100</f>
        <v>119.3924322774581</v>
      </c>
      <c r="L35" s="321">
        <f>+H35/B35*100</f>
        <v>112.64567365183913</v>
      </c>
      <c r="M35" s="321">
        <f>+J35/B35*100</f>
        <v>6.7467586256189689</v>
      </c>
      <c r="N35" s="332">
        <f>+F35/H35</f>
        <v>1.0598936329012651</v>
      </c>
    </row>
    <row r="36" spans="1:14" ht="12" customHeight="1" x14ac:dyDescent="0.2">
      <c r="G36" s="197"/>
      <c r="I36" s="331"/>
    </row>
    <row r="37" spans="1:14" s="140" customFormat="1" ht="15.75" x14ac:dyDescent="0.25">
      <c r="A37" s="140" t="s">
        <v>109</v>
      </c>
      <c r="B37" s="239">
        <f>+B35</f>
        <v>619187.21299999999</v>
      </c>
      <c r="D37" s="139">
        <f>+D35</f>
        <v>739082.07299999997</v>
      </c>
      <c r="E37" s="239">
        <f>+E35</f>
        <v>180.60095170527146</v>
      </c>
      <c r="F37" s="139">
        <f>+F35</f>
        <v>739262.67395170522</v>
      </c>
      <c r="G37" s="190"/>
      <c r="H37" s="139">
        <f>+H35</f>
        <v>697487.60724989802</v>
      </c>
      <c r="I37" s="333">
        <f>+H37/H39</f>
        <v>4.9869811084869944E-2</v>
      </c>
      <c r="J37" s="84">
        <f>+F37-H37</f>
        <v>41775.066701807198</v>
      </c>
      <c r="K37" s="84">
        <f>+F37/B37*100</f>
        <v>119.3924322774581</v>
      </c>
      <c r="L37" s="84">
        <f t="shared" ref="L37:L38" si="4">+H37/B37*100</f>
        <v>112.64567365183913</v>
      </c>
      <c r="M37" s="84">
        <f t="shared" ref="M37:M38" si="5">+J37/B37*100</f>
        <v>6.7467586256189689</v>
      </c>
      <c r="N37" s="233">
        <f t="shared" ref="N37:N38" si="6">+F37/H37</f>
        <v>1.0598936329012651</v>
      </c>
    </row>
    <row r="38" spans="1:14" s="140" customFormat="1" ht="16.5" thickBot="1" x14ac:dyDescent="0.3">
      <c r="A38" s="317" t="s">
        <v>99</v>
      </c>
      <c r="B38" s="281">
        <f>+B29</f>
        <v>65997266.318000004</v>
      </c>
      <c r="C38" s="317"/>
      <c r="D38" s="281">
        <f>+D29</f>
        <v>28550968.164999999</v>
      </c>
      <c r="E38" s="281">
        <f>+E29</f>
        <v>135973.56704829473</v>
      </c>
      <c r="F38" s="281">
        <f>+F29</f>
        <v>28686941.732048295</v>
      </c>
      <c r="G38" s="327"/>
      <c r="H38" s="281">
        <f>+H29</f>
        <v>13288681.421200853</v>
      </c>
      <c r="I38" s="334">
        <f>+H38/H39</f>
        <v>0.95013018891513001</v>
      </c>
      <c r="J38" s="399">
        <f>+F38-H38</f>
        <v>15398260.310847443</v>
      </c>
      <c r="K38" s="399">
        <f>+F38/B38*100</f>
        <v>43.466863602840256</v>
      </c>
      <c r="L38" s="399">
        <f t="shared" si="4"/>
        <v>20.135199778080075</v>
      </c>
      <c r="M38" s="399">
        <f t="shared" si="5"/>
        <v>23.331663824760181</v>
      </c>
      <c r="N38" s="400">
        <f t="shared" si="6"/>
        <v>2.1587500537322653</v>
      </c>
    </row>
    <row r="39" spans="1:14" s="140" customFormat="1" ht="16.5" thickTop="1" x14ac:dyDescent="0.25">
      <c r="A39" s="140" t="s">
        <v>341</v>
      </c>
      <c r="B39" s="139">
        <f>+B37+B38</f>
        <v>66616453.531000003</v>
      </c>
      <c r="D39" s="139">
        <f>+D37+D38</f>
        <v>29290050.237999998</v>
      </c>
      <c r="E39" s="139">
        <f>+E37+E38</f>
        <v>136154.16800000001</v>
      </c>
      <c r="F39" s="139">
        <f>+F38+F37</f>
        <v>29426204.405999999</v>
      </c>
      <c r="G39" s="186">
        <f>+G35+G29</f>
        <v>1</v>
      </c>
      <c r="H39" s="139">
        <f>+H38+H37</f>
        <v>13986169.028450752</v>
      </c>
    </row>
    <row r="40" spans="1:14" s="140" customFormat="1" ht="15.75" x14ac:dyDescent="0.25">
      <c r="A40" s="466" t="s">
        <v>393</v>
      </c>
      <c r="B40" s="460">
        <f>+'[3]PRC RPW'!$G$39-B39</f>
        <v>0</v>
      </c>
      <c r="C40" s="461"/>
      <c r="D40" s="462"/>
      <c r="E40" s="463"/>
      <c r="F40" s="460">
        <f>+'[3]PRC RPW'!$B$39-F39</f>
        <v>0</v>
      </c>
      <c r="G40" s="464"/>
      <c r="H40" s="460">
        <f>+[4]CS21!$K$20+'[1]ACR2013 Intl Products"Booked" '!$O$19+'[1]ACR2013 Intl Products"Booked" '!$O$28-'[1]ACR2013 MD IB Intl NSAs'!$AB$68-'[1]ACR2013 MD IB Intl NSAs'!$AB$69-H39</f>
        <v>0</v>
      </c>
    </row>
    <row r="41" spans="1:14" ht="16.5" thickBot="1" x14ac:dyDescent="0.3">
      <c r="A41" s="323"/>
      <c r="B41" s="324"/>
      <c r="C41" s="325"/>
      <c r="D41" s="323"/>
      <c r="E41" s="323"/>
      <c r="F41" s="324"/>
      <c r="H41" s="328"/>
    </row>
    <row r="42" spans="1:14" ht="16.5" thickTop="1" x14ac:dyDescent="0.25">
      <c r="B42" s="139"/>
      <c r="C42" s="140"/>
      <c r="D42" s="139"/>
      <c r="E42" s="139"/>
      <c r="F42" s="139"/>
      <c r="J42" s="329"/>
      <c r="K42" s="329"/>
      <c r="L42" s="329"/>
      <c r="M42" s="329"/>
    </row>
    <row r="43" spans="1:14" x14ac:dyDescent="0.2">
      <c r="B43" s="316"/>
      <c r="F43" s="316"/>
      <c r="J43" s="329"/>
      <c r="K43" s="329"/>
      <c r="L43" s="329"/>
      <c r="M43" s="224"/>
    </row>
    <row r="44" spans="1:14" x14ac:dyDescent="0.2">
      <c r="B44" s="255"/>
      <c r="F44" s="318"/>
      <c r="J44" s="330"/>
      <c r="K44" s="330"/>
      <c r="L44" s="330"/>
      <c r="M44" s="330"/>
    </row>
    <row r="45" spans="1:14" x14ac:dyDescent="0.2">
      <c r="J45" s="330"/>
      <c r="K45" s="330"/>
      <c r="L45" s="330"/>
      <c r="M45" s="330"/>
    </row>
    <row r="46" spans="1:14" x14ac:dyDescent="0.2">
      <c r="J46" s="330"/>
      <c r="K46" s="330"/>
      <c r="L46" s="330"/>
      <c r="M46" s="330"/>
    </row>
    <row r="47" spans="1:14" ht="15.75" x14ac:dyDescent="0.25">
      <c r="A47" s="140"/>
      <c r="B47" s="139"/>
      <c r="C47" s="190"/>
      <c r="D47" s="139"/>
      <c r="E47" s="140"/>
      <c r="F47" s="139"/>
      <c r="G47" s="190"/>
      <c r="H47" s="139"/>
      <c r="J47" s="330"/>
      <c r="K47" s="330"/>
      <c r="L47" s="330"/>
      <c r="M47" s="330"/>
      <c r="N47" s="140"/>
    </row>
    <row r="48" spans="1:14" ht="15.75" x14ac:dyDescent="0.25">
      <c r="A48" s="75" t="s">
        <v>336</v>
      </c>
      <c r="B48" s="84"/>
      <c r="J48" s="329"/>
      <c r="K48" s="329"/>
      <c r="L48" s="329"/>
      <c r="M48" s="329"/>
    </row>
    <row r="49" spans="1:14" ht="15.75" x14ac:dyDescent="0.25">
      <c r="A49" s="140" t="s">
        <v>20</v>
      </c>
      <c r="B49" s="84"/>
    </row>
    <row r="50" spans="1:14" ht="15.75" x14ac:dyDescent="0.25">
      <c r="A50" s="78" t="s">
        <v>21</v>
      </c>
      <c r="B50" s="84"/>
    </row>
    <row r="51" spans="1:14" ht="15.75" x14ac:dyDescent="0.25">
      <c r="A51" s="140" t="s">
        <v>87</v>
      </c>
      <c r="B51" s="84"/>
    </row>
    <row r="52" spans="1:14" ht="15.75" x14ac:dyDescent="0.25">
      <c r="A52" s="140"/>
      <c r="B52" s="84"/>
    </row>
    <row r="53" spans="1:14" x14ac:dyDescent="0.2">
      <c r="A53" s="94" t="s">
        <v>66</v>
      </c>
      <c r="B53" s="84">
        <f>+'[3]Summary Category RPW Data'!$F$5/1000</f>
        <v>21448767.243999999</v>
      </c>
      <c r="C53" s="197">
        <f t="shared" ref="C53:C60" si="7">B53/B$102</f>
        <v>0.32300940729043409</v>
      </c>
      <c r="D53" s="84">
        <f>+'[3]Summary Category RPW Data'!$D$5/1000</f>
        <v>10126167.507999999</v>
      </c>
      <c r="F53" s="84">
        <f>D53+E53</f>
        <v>10126167.507999999</v>
      </c>
      <c r="G53" s="197">
        <f t="shared" ref="G53:G60" si="8">F53/F$102</f>
        <v>0.34500426148050672</v>
      </c>
      <c r="H53" s="240"/>
      <c r="I53" s="197"/>
      <c r="J53" s="207"/>
      <c r="K53" s="84"/>
      <c r="L53" s="84"/>
      <c r="M53" s="84"/>
      <c r="N53" s="233"/>
    </row>
    <row r="54" spans="1:14" x14ac:dyDescent="0.2">
      <c r="A54" s="94" t="s">
        <v>68</v>
      </c>
      <c r="B54" s="84">
        <f>+'[3]Summary Category RPW Data'!$E$7/1000</f>
        <v>854239.28399999999</v>
      </c>
      <c r="C54" s="197">
        <f t="shared" si="7"/>
        <v>1.286448408293636E-2</v>
      </c>
      <c r="D54" s="84">
        <f>+'[3]Summary Category RPW Data'!$C$7/1000</f>
        <v>371578.94199999998</v>
      </c>
      <c r="E54" s="196"/>
      <c r="F54" s="84">
        <f>D54+E54</f>
        <v>371578.94199999998</v>
      </c>
      <c r="G54" s="197">
        <f t="shared" si="8"/>
        <v>1.265990498035301E-2</v>
      </c>
      <c r="H54" s="240"/>
      <c r="I54" s="197"/>
      <c r="J54" s="207"/>
      <c r="K54" s="84"/>
      <c r="L54" s="84"/>
      <c r="M54" s="84"/>
      <c r="N54" s="233"/>
    </row>
    <row r="55" spans="1:14" x14ac:dyDescent="0.2">
      <c r="A55" s="94" t="s">
        <v>88</v>
      </c>
      <c r="B55" s="84">
        <f>+'[3]Summary Category RPW Data'!$E$8/1000</f>
        <v>37870655.126000002</v>
      </c>
      <c r="C55" s="197">
        <f t="shared" si="7"/>
        <v>0.5703161271131606</v>
      </c>
      <c r="D55" s="84">
        <f>+'[3]Summary Category RPW Data'!$C$8/1000</f>
        <v>13948010.596999999</v>
      </c>
      <c r="E55" s="196"/>
      <c r="F55" s="84">
        <f>D55+E55</f>
        <v>13948010.596999999</v>
      </c>
      <c r="G55" s="197">
        <f t="shared" si="8"/>
        <v>0.47521661984541869</v>
      </c>
      <c r="H55" s="240"/>
      <c r="I55" s="197"/>
      <c r="J55" s="207"/>
      <c r="K55" s="84"/>
      <c r="L55" s="84"/>
      <c r="M55" s="84"/>
      <c r="N55" s="233"/>
    </row>
    <row r="56" spans="1:14" ht="15.75" x14ac:dyDescent="0.25">
      <c r="A56" s="95" t="s">
        <v>257</v>
      </c>
      <c r="B56" s="139">
        <f>B55+B75</f>
        <v>37870655.126000002</v>
      </c>
      <c r="C56" s="197">
        <f t="shared" si="7"/>
        <v>0.5703161271131606</v>
      </c>
      <c r="D56" s="139">
        <f>D55+D75</f>
        <v>13948010.596999999</v>
      </c>
      <c r="E56" s="196"/>
      <c r="F56" s="139">
        <f>F55+F75</f>
        <v>13948010.596999999</v>
      </c>
      <c r="G56" s="197">
        <f t="shared" si="8"/>
        <v>0.47521661984541869</v>
      </c>
      <c r="H56" s="241"/>
      <c r="I56" s="197"/>
      <c r="J56" s="139"/>
      <c r="K56" s="139"/>
      <c r="L56" s="139"/>
      <c r="M56" s="139"/>
      <c r="N56" s="234"/>
    </row>
    <row r="57" spans="1:14" ht="15.75" x14ac:dyDescent="0.25">
      <c r="A57" s="95" t="s">
        <v>89</v>
      </c>
      <c r="B57" s="139">
        <f>B54+B56</f>
        <v>38724894.410000004</v>
      </c>
      <c r="C57" s="190">
        <f t="shared" si="7"/>
        <v>0.58318061119609699</v>
      </c>
      <c r="D57" s="139">
        <f>D54+D56</f>
        <v>14319589.538999999</v>
      </c>
      <c r="E57" s="196"/>
      <c r="F57" s="139">
        <f>F54+F56</f>
        <v>14319589.538999999</v>
      </c>
      <c r="G57" s="190">
        <f t="shared" si="8"/>
        <v>0.48787652482577165</v>
      </c>
      <c r="H57" s="241"/>
      <c r="I57" s="190"/>
      <c r="J57" s="139"/>
      <c r="K57" s="139"/>
      <c r="L57" s="139"/>
      <c r="M57" s="139"/>
      <c r="N57" s="234"/>
    </row>
    <row r="58" spans="1:14" ht="15.75" x14ac:dyDescent="0.25">
      <c r="A58" s="95" t="s">
        <v>90</v>
      </c>
      <c r="B58" s="139">
        <f>B53+B57</f>
        <v>60173661.653999999</v>
      </c>
      <c r="C58" s="190">
        <f t="shared" si="7"/>
        <v>0.90619001848653102</v>
      </c>
      <c r="D58" s="139">
        <f>D53+D57</f>
        <v>24445757.046999998</v>
      </c>
      <c r="E58" s="196"/>
      <c r="F58" s="139">
        <f>F53+F57</f>
        <v>24445757.046999998</v>
      </c>
      <c r="G58" s="190">
        <f t="shared" si="8"/>
        <v>0.83288078630627838</v>
      </c>
      <c r="H58" s="306"/>
      <c r="I58" s="305"/>
      <c r="J58" s="199"/>
      <c r="K58" s="199"/>
      <c r="L58" s="199"/>
      <c r="M58" s="199"/>
      <c r="N58" s="307"/>
    </row>
    <row r="59" spans="1:14" x14ac:dyDescent="0.2">
      <c r="A59" s="94" t="s">
        <v>91</v>
      </c>
      <c r="B59" s="84">
        <f>+'[3]Summary Category RPW Data'!$E$11/1000+'[3]Summary Category RPW Data'!$E$14/1000</f>
        <v>1268871.2889999999</v>
      </c>
      <c r="C59" s="197">
        <f t="shared" si="7"/>
        <v>1.9108667567008592E-2</v>
      </c>
      <c r="D59" s="84">
        <f>+'[3]Summary Category RPW Data'!$C$11/1000+'[3]Summary Category RPW Data'!$C$14/1000</f>
        <v>1934265.9300000002</v>
      </c>
      <c r="E59" s="196"/>
      <c r="F59" s="84">
        <f>D59+E59</f>
        <v>1934265.9300000002</v>
      </c>
      <c r="G59" s="197">
        <f t="shared" si="8"/>
        <v>6.5901535616445545E-2</v>
      </c>
      <c r="H59" s="240"/>
      <c r="I59" s="197"/>
      <c r="J59" s="207"/>
      <c r="K59" s="84"/>
      <c r="L59" s="84"/>
      <c r="M59" s="84"/>
      <c r="N59" s="233"/>
    </row>
    <row r="60" spans="1:14" x14ac:dyDescent="0.2">
      <c r="A60" s="94" t="s">
        <v>92</v>
      </c>
      <c r="B60" s="84">
        <f>+'[3]Summary Category RPW Data'!$E$12/1000+'[3]Summary Category RPW Data'!$E$13/1000</f>
        <v>625560.67300000007</v>
      </c>
      <c r="C60" s="197">
        <f t="shared" si="7"/>
        <v>9.4206804480317704E-3</v>
      </c>
      <c r="D60" s="84">
        <f>+'[3]Summary Category RPW Data'!$C$12/1000+'[3]Summary Category RPW Data'!$C$13/1000</f>
        <v>579126.76699999999</v>
      </c>
      <c r="E60" s="196"/>
      <c r="F60" s="84">
        <f>D60+E60</f>
        <v>579126.76699999999</v>
      </c>
      <c r="G60" s="197">
        <f t="shared" si="8"/>
        <v>1.973117691313906E-2</v>
      </c>
      <c r="H60" s="240"/>
      <c r="I60" s="197"/>
      <c r="J60" s="207"/>
      <c r="K60" s="84"/>
      <c r="L60" s="84"/>
      <c r="M60" s="84"/>
      <c r="N60" s="233"/>
    </row>
    <row r="61" spans="1:14" x14ac:dyDescent="0.2">
      <c r="A61" s="94"/>
      <c r="B61" s="84"/>
      <c r="C61" s="197">
        <f t="shared" ref="C61" si="9">B61/B$102</f>
        <v>0</v>
      </c>
      <c r="D61" s="84"/>
      <c r="E61" s="196"/>
      <c r="F61" s="84"/>
      <c r="G61" s="197"/>
      <c r="H61" s="240"/>
      <c r="I61" s="197"/>
      <c r="J61" s="207"/>
      <c r="K61" s="84"/>
      <c r="L61" s="84"/>
      <c r="M61" s="84"/>
      <c r="N61" s="233"/>
    </row>
    <row r="62" spans="1:14" ht="15.75" x14ac:dyDescent="0.25">
      <c r="A62" s="95" t="s">
        <v>314</v>
      </c>
      <c r="B62" s="139">
        <f>B60</f>
        <v>625560.67300000007</v>
      </c>
      <c r="C62" s="190">
        <f t="shared" ref="C62:C74" si="10">B62/B$102</f>
        <v>9.4206804480317704E-3</v>
      </c>
      <c r="D62" s="139">
        <f>D60</f>
        <v>579126.76699999999</v>
      </c>
      <c r="E62" s="196"/>
      <c r="F62" s="139">
        <f>SUM(F60:F61)</f>
        <v>579126.76699999999</v>
      </c>
      <c r="G62" s="190">
        <f t="shared" ref="G62:G74" si="11">F62/F$102</f>
        <v>1.973117691313906E-2</v>
      </c>
      <c r="H62" s="241"/>
      <c r="I62" s="190"/>
      <c r="J62" s="235"/>
      <c r="K62" s="84"/>
      <c r="L62" s="84"/>
      <c r="M62" s="84"/>
      <c r="N62" s="233"/>
    </row>
    <row r="63" spans="1:14" ht="15.75" x14ac:dyDescent="0.25">
      <c r="A63" s="95" t="s">
        <v>315</v>
      </c>
      <c r="B63" s="139">
        <f>B59+B62</f>
        <v>1894431.9619999998</v>
      </c>
      <c r="C63" s="190">
        <f t="shared" si="10"/>
        <v>2.8529348015040361E-2</v>
      </c>
      <c r="D63" s="139">
        <f>D59+D62</f>
        <v>2513392.6970000002</v>
      </c>
      <c r="E63" s="196"/>
      <c r="F63" s="139">
        <f>F59+F62</f>
        <v>2513392.6970000002</v>
      </c>
      <c r="G63" s="190">
        <f t="shared" si="11"/>
        <v>8.5632712529584598E-2</v>
      </c>
      <c r="H63" s="241"/>
      <c r="I63" s="190"/>
      <c r="J63" s="139"/>
      <c r="K63" s="139"/>
      <c r="L63" s="139"/>
      <c r="M63" s="139"/>
      <c r="N63" s="234"/>
    </row>
    <row r="64" spans="1:14" x14ac:dyDescent="0.2">
      <c r="A64" s="94" t="s">
        <v>93</v>
      </c>
      <c r="B64" s="84">
        <f>+'[3]Summary Category RPW Data'!$F$17/1000</f>
        <v>247186.73199999999</v>
      </c>
      <c r="C64" s="197">
        <f t="shared" si="10"/>
        <v>3.7225281474260272E-3</v>
      </c>
      <c r="D64" s="84">
        <f>+'[3]Summary Category RPW Data'!$D$17/1000</f>
        <v>578737.21200000006</v>
      </c>
      <c r="E64" s="84"/>
      <c r="F64" s="84">
        <f>D64+E64</f>
        <v>578737.21200000006</v>
      </c>
      <c r="G64" s="197">
        <f t="shared" si="11"/>
        <v>1.9717904553682747E-2</v>
      </c>
      <c r="H64" s="240"/>
      <c r="I64" s="197"/>
      <c r="J64" s="207"/>
      <c r="K64" s="84"/>
      <c r="L64" s="84"/>
      <c r="M64" s="84"/>
      <c r="N64" s="233"/>
    </row>
    <row r="65" spans="1:17" x14ac:dyDescent="0.2">
      <c r="A65" s="94" t="s">
        <v>94</v>
      </c>
      <c r="B65" s="84">
        <v>0</v>
      </c>
      <c r="C65" s="197">
        <f t="shared" si="10"/>
        <v>0</v>
      </c>
      <c r="D65" s="84">
        <v>0</v>
      </c>
      <c r="E65" s="84"/>
      <c r="F65" s="84">
        <f>D65+E65</f>
        <v>0</v>
      </c>
      <c r="G65" s="197">
        <f t="shared" si="11"/>
        <v>0</v>
      </c>
      <c r="H65" s="240"/>
      <c r="I65" s="197"/>
      <c r="J65" s="207"/>
      <c r="K65" s="84"/>
      <c r="L65" s="84"/>
      <c r="M65" s="84"/>
      <c r="N65" s="233"/>
    </row>
    <row r="66" spans="1:17" ht="15.75" x14ac:dyDescent="0.25">
      <c r="A66" s="95" t="s">
        <v>95</v>
      </c>
      <c r="B66" s="139">
        <f>SUM(B64:B65)</f>
        <v>247186.73199999999</v>
      </c>
      <c r="C66" s="190">
        <f t="shared" si="10"/>
        <v>3.7225281474260272E-3</v>
      </c>
      <c r="D66" s="139">
        <f>SUM(D64:D65)</f>
        <v>578737.21200000006</v>
      </c>
      <c r="E66" s="139"/>
      <c r="F66" s="139">
        <f>SUM(F64:F65)</f>
        <v>578737.21200000006</v>
      </c>
      <c r="G66" s="190">
        <f t="shared" si="11"/>
        <v>1.9717904553682747E-2</v>
      </c>
      <c r="H66" s="241"/>
      <c r="I66" s="190"/>
      <c r="J66" s="139"/>
      <c r="K66" s="139"/>
      <c r="L66" s="139"/>
      <c r="M66" s="139"/>
      <c r="N66" s="234"/>
    </row>
    <row r="67" spans="1:17" ht="15.75" x14ac:dyDescent="0.25">
      <c r="A67" s="91" t="s">
        <v>22</v>
      </c>
      <c r="B67" s="139">
        <f>B53+B59+B64</f>
        <v>22964825.265000001</v>
      </c>
      <c r="C67" s="190">
        <f t="shared" si="10"/>
        <v>0.34584060300486874</v>
      </c>
      <c r="D67" s="139">
        <f>D53+D59+D64</f>
        <v>12639170.649999999</v>
      </c>
      <c r="E67" s="139"/>
      <c r="F67" s="139">
        <f>F53+F59+F64</f>
        <v>12639170.649999999</v>
      </c>
      <c r="G67" s="190">
        <f t="shared" si="11"/>
        <v>0.43062370165063496</v>
      </c>
      <c r="H67" s="241"/>
      <c r="I67" s="190"/>
      <c r="J67" s="139"/>
      <c r="K67" s="139"/>
      <c r="L67" s="139"/>
      <c r="M67" s="139"/>
      <c r="N67" s="234"/>
    </row>
    <row r="68" spans="1:17" ht="15.75" x14ac:dyDescent="0.25">
      <c r="A68" s="91" t="s">
        <v>23</v>
      </c>
      <c r="B68" s="139">
        <f>B57+B62+B65</f>
        <v>39350455.083000004</v>
      </c>
      <c r="C68" s="190">
        <f t="shared" si="10"/>
        <v>0.59260129164412878</v>
      </c>
      <c r="D68" s="139">
        <f>D57+D62+D65</f>
        <v>14898716.305999998</v>
      </c>
      <c r="E68" s="139"/>
      <c r="F68" s="139">
        <f>F57+F62+F65</f>
        <v>14898716.305999998</v>
      </c>
      <c r="G68" s="190">
        <f t="shared" si="11"/>
        <v>0.50760770173891068</v>
      </c>
      <c r="H68" s="241"/>
      <c r="I68" s="190"/>
      <c r="J68" s="139"/>
      <c r="K68" s="139"/>
      <c r="L68" s="139"/>
      <c r="M68" s="139"/>
      <c r="N68" s="234"/>
    </row>
    <row r="69" spans="1:17" ht="15.75" x14ac:dyDescent="0.25">
      <c r="A69" s="95" t="s">
        <v>24</v>
      </c>
      <c r="B69" s="139">
        <f>B67+B68</f>
        <v>62315280.348000005</v>
      </c>
      <c r="C69" s="190">
        <f t="shared" si="10"/>
        <v>0.93844189464899752</v>
      </c>
      <c r="D69" s="139">
        <f>D67+D68</f>
        <v>27537886.955999997</v>
      </c>
      <c r="E69" s="139"/>
      <c r="F69" s="139">
        <f>F67+F68</f>
        <v>27537886.955999997</v>
      </c>
      <c r="G69" s="190">
        <f t="shared" si="11"/>
        <v>0.93823140338954569</v>
      </c>
      <c r="H69" s="241"/>
      <c r="I69" s="190"/>
      <c r="J69" s="139"/>
      <c r="K69" s="139"/>
      <c r="L69" s="139"/>
      <c r="M69" s="139"/>
      <c r="N69" s="234"/>
    </row>
    <row r="70" spans="1:17" x14ac:dyDescent="0.2">
      <c r="A70" s="94" t="s">
        <v>25</v>
      </c>
      <c r="B70" s="84">
        <f>+'[3]Summary Category RPW Data'!$E$6/1000</f>
        <v>1049160.5430000001</v>
      </c>
      <c r="C70" s="197">
        <f t="shared" si="10"/>
        <v>1.5799916204589311E-2</v>
      </c>
      <c r="D70" s="84">
        <f>+'[3]Summary Category RPW Data'!$C$6/1000</f>
        <v>350788.34100000001</v>
      </c>
      <c r="E70" s="84"/>
      <c r="F70" s="84">
        <f>D70+E70</f>
        <v>350788.34100000001</v>
      </c>
      <c r="G70" s="197">
        <f t="shared" si="11"/>
        <v>1.1951557430495269E-2</v>
      </c>
      <c r="H70" s="240"/>
      <c r="I70" s="197"/>
      <c r="J70" s="207"/>
      <c r="K70" s="84"/>
      <c r="L70" s="84"/>
      <c r="M70" s="84"/>
      <c r="N70" s="233"/>
    </row>
    <row r="71" spans="1:17" x14ac:dyDescent="0.2">
      <c r="A71" s="94" t="s">
        <v>69</v>
      </c>
      <c r="B71" s="84">
        <f>+'[3]Summary Category RPW Data'!$E$9/1000</f>
        <v>170949.772</v>
      </c>
      <c r="C71" s="197">
        <f t="shared" si="10"/>
        <v>2.5744316166049792E-3</v>
      </c>
      <c r="D71" s="84">
        <f>+'[3]Summary Category RPW Data'!$C$9/1000</f>
        <v>47969.519</v>
      </c>
      <c r="E71" s="84"/>
      <c r="F71" s="84">
        <f>D71+E71</f>
        <v>47969.519</v>
      </c>
      <c r="G71" s="197">
        <f t="shared" si="11"/>
        <v>1.6343486776310332E-3</v>
      </c>
      <c r="H71" s="240"/>
      <c r="I71" s="197"/>
      <c r="J71" s="207"/>
      <c r="K71" s="84"/>
      <c r="L71" s="84"/>
      <c r="M71" s="84"/>
      <c r="N71" s="233"/>
      <c r="O71" s="200"/>
      <c r="P71" s="200"/>
      <c r="Q71" s="200"/>
    </row>
    <row r="72" spans="1:17" x14ac:dyDescent="0.2">
      <c r="A72" s="94" t="s">
        <v>96</v>
      </c>
      <c r="B72" s="84">
        <f>+'[3]Summary Category RPW Data'!$E$10/1000</f>
        <v>2248340.3050000002</v>
      </c>
      <c r="C72" s="197">
        <f t="shared" si="10"/>
        <v>3.385905870690066E-2</v>
      </c>
      <c r="D72" s="84">
        <f>+'[3]Summary Category RPW Data'!$C$10/1000</f>
        <v>538966.56599999999</v>
      </c>
      <c r="E72" s="84"/>
      <c r="F72" s="84">
        <f>D72+E72</f>
        <v>538966.56599999999</v>
      </c>
      <c r="G72" s="197">
        <f t="shared" si="11"/>
        <v>1.8362896122211252E-2</v>
      </c>
      <c r="H72" s="240"/>
      <c r="I72" s="197"/>
      <c r="J72" s="207"/>
      <c r="K72" s="84"/>
      <c r="L72" s="84"/>
      <c r="M72" s="84"/>
      <c r="N72" s="233"/>
    </row>
    <row r="73" spans="1:17" ht="15.75" x14ac:dyDescent="0.25">
      <c r="A73" s="95" t="s">
        <v>26</v>
      </c>
      <c r="B73" s="139">
        <f>SUM(B71:B72)</f>
        <v>2419290.077</v>
      </c>
      <c r="C73" s="190">
        <f t="shared" si="10"/>
        <v>3.6433490323505638E-2</v>
      </c>
      <c r="D73" s="139">
        <f>SUM(D71:D72)</f>
        <v>586936.08499999996</v>
      </c>
      <c r="E73" s="139"/>
      <c r="F73" s="139">
        <f>SUM(F71:F72)</f>
        <v>586936.08499999996</v>
      </c>
      <c r="G73" s="190">
        <f t="shared" si="11"/>
        <v>1.9997244799842284E-2</v>
      </c>
      <c r="H73" s="241"/>
      <c r="I73" s="190"/>
      <c r="J73" s="235"/>
      <c r="K73" s="84"/>
      <c r="L73" s="84"/>
      <c r="M73" s="84"/>
      <c r="N73" s="233"/>
    </row>
    <row r="74" spans="1:17" ht="15.75" x14ac:dyDescent="0.25">
      <c r="A74" s="95" t="s">
        <v>27</v>
      </c>
      <c r="B74" s="139">
        <f>B70+B73</f>
        <v>3468450.62</v>
      </c>
      <c r="C74" s="190">
        <f t="shared" si="10"/>
        <v>5.2233406528094946E-2</v>
      </c>
      <c r="D74" s="139">
        <f>D70+D73</f>
        <v>937724.42599999998</v>
      </c>
      <c r="E74" s="139"/>
      <c r="F74" s="139">
        <f>F70+F73</f>
        <v>937724.42599999998</v>
      </c>
      <c r="G74" s="190">
        <f t="shared" si="11"/>
        <v>3.1948802230337553E-2</v>
      </c>
      <c r="H74" s="241"/>
      <c r="I74" s="190"/>
      <c r="J74" s="139"/>
      <c r="K74" s="139"/>
      <c r="L74" s="139"/>
      <c r="M74" s="139"/>
      <c r="N74" s="234"/>
    </row>
    <row r="75" spans="1:17" ht="16.5" thickBot="1" x14ac:dyDescent="0.3">
      <c r="B75" s="84"/>
      <c r="C75" s="197"/>
      <c r="D75" s="84"/>
      <c r="E75" s="196"/>
      <c r="F75" s="84"/>
      <c r="G75" s="197"/>
      <c r="H75" s="241"/>
      <c r="I75" s="197"/>
      <c r="J75" s="207"/>
      <c r="K75" s="84"/>
      <c r="L75" s="84"/>
      <c r="M75" s="84"/>
      <c r="N75" s="233"/>
    </row>
    <row r="76" spans="1:17" ht="17.25" thickTop="1" thickBot="1" x14ac:dyDescent="0.3">
      <c r="A76" s="309" t="s">
        <v>67</v>
      </c>
      <c r="B76" s="310">
        <f>B53+B70</f>
        <v>22497927.787</v>
      </c>
      <c r="C76" s="311">
        <f>B76/B$102</f>
        <v>0.33880932349502341</v>
      </c>
      <c r="D76" s="310">
        <f>D53+D70</f>
        <v>10476955.848999999</v>
      </c>
      <c r="E76" s="310"/>
      <c r="F76" s="310">
        <f>F53+F70</f>
        <v>10476955.848999999</v>
      </c>
      <c r="G76" s="311">
        <f>F76/F$102</f>
        <v>0.35695581891100198</v>
      </c>
      <c r="H76" s="312"/>
      <c r="I76" s="311"/>
      <c r="J76" s="310"/>
      <c r="K76" s="310"/>
      <c r="L76" s="310"/>
      <c r="M76" s="310"/>
      <c r="N76" s="313"/>
    </row>
    <row r="77" spans="1:17" ht="16.5" thickTop="1" x14ac:dyDescent="0.25">
      <c r="A77" s="308" t="s">
        <v>70</v>
      </c>
      <c r="B77" s="287">
        <f>B57+B73</f>
        <v>41144184.487000003</v>
      </c>
      <c r="C77" s="302">
        <f>B77/B$102</f>
        <v>0.61961410151960261</v>
      </c>
      <c r="D77" s="287">
        <f>D57+D73</f>
        <v>14906525.623999998</v>
      </c>
      <c r="E77" s="287"/>
      <c r="F77" s="287">
        <f>F57+F73</f>
        <v>14906525.623999998</v>
      </c>
      <c r="G77" s="302">
        <f>F77/F$102</f>
        <v>0.50787376962561392</v>
      </c>
      <c r="H77" s="303"/>
      <c r="I77" s="302"/>
      <c r="J77" s="287"/>
      <c r="K77" s="287"/>
      <c r="L77" s="287"/>
      <c r="M77" s="287"/>
      <c r="N77" s="304"/>
    </row>
    <row r="78" spans="1:17" ht="15.75" x14ac:dyDescent="0.25">
      <c r="A78" s="91"/>
      <c r="B78" s="139"/>
      <c r="C78" s="139"/>
      <c r="D78" s="139"/>
      <c r="E78" s="139"/>
      <c r="F78" s="139"/>
      <c r="G78" s="139"/>
      <c r="H78" s="241"/>
      <c r="I78" s="139"/>
      <c r="J78" s="139"/>
      <c r="K78" s="139"/>
      <c r="L78" s="139"/>
      <c r="M78" s="139"/>
      <c r="N78" s="234"/>
    </row>
    <row r="79" spans="1:17" ht="15.75" x14ac:dyDescent="0.25">
      <c r="A79" s="91" t="s">
        <v>97</v>
      </c>
      <c r="B79" s="139">
        <f>B67+B70</f>
        <v>24013985.808000002</v>
      </c>
      <c r="C79" s="190">
        <f>B79/B$102</f>
        <v>0.36164051920945806</v>
      </c>
      <c r="D79" s="139">
        <f>D67+D70</f>
        <v>12989958.990999999</v>
      </c>
      <c r="E79" s="139"/>
      <c r="F79" s="139">
        <f>F67+F70</f>
        <v>12989958.990999999</v>
      </c>
      <c r="G79" s="190">
        <f>F79/F$102</f>
        <v>0.44257525908113021</v>
      </c>
      <c r="H79" s="241"/>
      <c r="I79" s="190"/>
      <c r="J79" s="139"/>
      <c r="K79" s="139"/>
      <c r="L79" s="139"/>
      <c r="M79" s="139"/>
      <c r="N79" s="234"/>
    </row>
    <row r="80" spans="1:17" ht="15.75" x14ac:dyDescent="0.25">
      <c r="A80" s="91" t="s">
        <v>98</v>
      </c>
      <c r="B80" s="139">
        <f>B68+B73</f>
        <v>41769745.160000004</v>
      </c>
      <c r="C80" s="190">
        <f>B80/B$102</f>
        <v>0.6290347819676344</v>
      </c>
      <c r="D80" s="139">
        <f>D68+D73</f>
        <v>15485652.390999999</v>
      </c>
      <c r="E80" s="139"/>
      <c r="F80" s="139">
        <f>F68+F73</f>
        <v>15485652.390999999</v>
      </c>
      <c r="G80" s="190">
        <f>F80/F$102</f>
        <v>0.52760494653875301</v>
      </c>
      <c r="H80" s="241"/>
      <c r="I80" s="190"/>
      <c r="J80" s="139"/>
      <c r="K80" s="139"/>
      <c r="L80" s="139"/>
      <c r="M80" s="139"/>
      <c r="N80" s="234"/>
    </row>
    <row r="81" spans="1:17" ht="15.75" x14ac:dyDescent="0.25">
      <c r="A81" s="97" t="s">
        <v>99</v>
      </c>
      <c r="B81" s="139">
        <f>B69+B74</f>
        <v>65783730.968000002</v>
      </c>
      <c r="C81" s="190">
        <f>B81/B$102</f>
        <v>0.99067530117709246</v>
      </c>
      <c r="D81" s="139">
        <f>D69+D74</f>
        <v>28475611.381999996</v>
      </c>
      <c r="E81" s="139"/>
      <c r="F81" s="139">
        <f>F69+F74</f>
        <v>28475611.381999996</v>
      </c>
      <c r="G81" s="190">
        <f>F81/F$102</f>
        <v>0.97018020561988316</v>
      </c>
      <c r="H81" s="241"/>
      <c r="I81" s="190"/>
      <c r="J81" s="139"/>
      <c r="K81" s="139"/>
      <c r="L81" s="139"/>
      <c r="M81" s="139"/>
      <c r="N81" s="234"/>
    </row>
    <row r="82" spans="1:17" x14ac:dyDescent="0.2">
      <c r="A82" s="94" t="s">
        <v>100</v>
      </c>
      <c r="B82" s="84"/>
      <c r="C82" s="84"/>
      <c r="D82" s="84">
        <f>E114</f>
        <v>135639.77000000002</v>
      </c>
      <c r="E82" s="84"/>
      <c r="F82" s="84">
        <f>D82+E82</f>
        <v>135639.77000000002</v>
      </c>
      <c r="G82" s="197">
        <f>F82/F$102</f>
        <v>4.6213237771610249E-3</v>
      </c>
      <c r="H82" s="242"/>
      <c r="I82" s="84"/>
      <c r="J82" s="207"/>
      <c r="K82" s="84"/>
      <c r="N82" s="131"/>
    </row>
    <row r="83" spans="1:17" ht="15.75" x14ac:dyDescent="0.25">
      <c r="A83" s="97" t="s">
        <v>99</v>
      </c>
      <c r="B83" s="139">
        <f>SUM(B81:B82)</f>
        <v>65783730.968000002</v>
      </c>
      <c r="C83" s="190">
        <f>B83/B$102</f>
        <v>0.99067530117709246</v>
      </c>
      <c r="D83" s="139">
        <f>SUM(D81:D82)</f>
        <v>28611251.151999995</v>
      </c>
      <c r="E83" s="236"/>
      <c r="F83" s="139">
        <f>SUM(F81:F82)</f>
        <v>28611251.151999995</v>
      </c>
      <c r="G83" s="190">
        <f>F83/F$102</f>
        <v>0.97480152939704423</v>
      </c>
      <c r="H83" s="241"/>
      <c r="I83" s="190"/>
      <c r="J83" s="139"/>
      <c r="K83" s="139"/>
      <c r="L83" s="139"/>
      <c r="M83" s="139"/>
      <c r="N83" s="234"/>
    </row>
    <row r="84" spans="1:17" ht="15.75" x14ac:dyDescent="0.25">
      <c r="A84" s="140" t="s">
        <v>300</v>
      </c>
      <c r="B84" s="139">
        <f>+'[6]PRC RPW'!$G$37</f>
        <v>68989715.261999995</v>
      </c>
      <c r="C84" s="139"/>
      <c r="D84" s="139">
        <f>+'[6]PRC RPW'!$B$37</f>
        <v>29515545.044999998</v>
      </c>
      <c r="E84" s="236"/>
      <c r="F84" s="139"/>
      <c r="G84" s="139"/>
      <c r="H84" s="241"/>
      <c r="I84" s="139"/>
      <c r="J84" s="139"/>
      <c r="K84" s="139"/>
      <c r="L84" s="139"/>
      <c r="M84" s="139"/>
      <c r="N84" s="234"/>
    </row>
    <row r="85" spans="1:17" ht="15.75" x14ac:dyDescent="0.25">
      <c r="A85" s="140"/>
      <c r="B85" s="139"/>
      <c r="C85" s="139"/>
      <c r="D85" s="139"/>
      <c r="E85" s="236"/>
      <c r="F85" s="139"/>
      <c r="G85" s="139"/>
      <c r="H85" s="241"/>
      <c r="I85" s="139"/>
      <c r="J85" s="139"/>
      <c r="K85" s="139"/>
      <c r="L85" s="139"/>
      <c r="M85" s="139"/>
      <c r="N85" s="234"/>
    </row>
    <row r="86" spans="1:17" ht="15.75" x14ac:dyDescent="0.25">
      <c r="A86" s="140" t="s">
        <v>101</v>
      </c>
      <c r="B86" s="84"/>
      <c r="C86" s="84"/>
      <c r="E86" s="84"/>
      <c r="G86" s="84"/>
      <c r="H86" s="242"/>
      <c r="I86" s="84"/>
      <c r="J86" s="207"/>
      <c r="N86" s="131"/>
    </row>
    <row r="87" spans="1:17" x14ac:dyDescent="0.2">
      <c r="A87" s="94" t="s">
        <v>102</v>
      </c>
      <c r="B87" s="84">
        <f>+'[3]Summary Category RPW Data'!$E$28/1000</f>
        <v>171179.02299999999</v>
      </c>
      <c r="C87" s="197">
        <f t="shared" ref="C87:C92" si="12">B87/B$102</f>
        <v>2.5778840401773154E-3</v>
      </c>
      <c r="D87" s="84">
        <f>+'[3]Summary Category RPW Data'!$C$28/1000</f>
        <v>187214.899</v>
      </c>
      <c r="E87" s="84"/>
      <c r="F87" s="84">
        <f>D87+E87</f>
        <v>187214.899</v>
      </c>
      <c r="G87" s="197">
        <f t="shared" ref="G87:G92" si="13">F87/F$102</f>
        <v>6.3785176293612092E-3</v>
      </c>
      <c r="H87" s="242"/>
      <c r="I87" s="197"/>
      <c r="J87" s="207"/>
      <c r="K87" s="84"/>
      <c r="N87" s="131"/>
    </row>
    <row r="88" spans="1:17" x14ac:dyDescent="0.2">
      <c r="A88" s="94" t="s">
        <v>103</v>
      </c>
      <c r="B88" s="84">
        <f>+'[3]Summary Category RPW Data'!$E$30/1000</f>
        <v>24358.246999999999</v>
      </c>
      <c r="C88" s="197">
        <f t="shared" si="12"/>
        <v>3.6682494786757238E-4</v>
      </c>
      <c r="D88" s="84">
        <f>+'[3]Summary Category RPW Data'!$C$30/1000</f>
        <v>89415.017000000007</v>
      </c>
      <c r="E88" s="84"/>
      <c r="F88" s="84">
        <f>D88+E88</f>
        <v>89415.017000000007</v>
      </c>
      <c r="G88" s="197">
        <f t="shared" si="13"/>
        <v>3.0464202652168842E-3</v>
      </c>
      <c r="H88" s="242"/>
      <c r="I88" s="197"/>
      <c r="J88" s="207"/>
      <c r="K88" s="84"/>
      <c r="N88" s="131"/>
    </row>
    <row r="89" spans="1:17" x14ac:dyDescent="0.2">
      <c r="A89" s="94" t="s">
        <v>104</v>
      </c>
      <c r="B89" s="84">
        <f>+'[3]Summary Category RPW Data'!$E$31/1000</f>
        <v>18497.810000000001</v>
      </c>
      <c r="C89" s="197">
        <f t="shared" si="12"/>
        <v>2.7856923320115196E-4</v>
      </c>
      <c r="D89" s="84">
        <f>+'[3]Summary Category RPW Data'!$C$31/1000</f>
        <v>162567.24799999999</v>
      </c>
      <c r="E89" s="84"/>
      <c r="F89" s="84">
        <f>D89+E89</f>
        <v>162567.24799999999</v>
      </c>
      <c r="G89" s="197">
        <f t="shared" si="13"/>
        <v>5.5387582017429908E-3</v>
      </c>
      <c r="H89" s="242"/>
      <c r="I89" s="197"/>
      <c r="J89" s="207"/>
      <c r="K89" s="84"/>
      <c r="N89" s="131"/>
    </row>
    <row r="90" spans="1:17" ht="15.75" x14ac:dyDescent="0.25">
      <c r="A90" s="95" t="s">
        <v>105</v>
      </c>
      <c r="B90" s="139">
        <f>SUM(B87:B89)</f>
        <v>214035.08</v>
      </c>
      <c r="C90" s="190">
        <f t="shared" si="12"/>
        <v>3.2232782212460397E-3</v>
      </c>
      <c r="D90" s="139">
        <f>SUM(D87:D89)</f>
        <v>439197.16399999999</v>
      </c>
      <c r="E90" s="139"/>
      <c r="F90" s="139">
        <f>SUM(F87:F89)</f>
        <v>439197.16399999999</v>
      </c>
      <c r="G90" s="190">
        <f t="shared" si="13"/>
        <v>1.4963696096321083E-2</v>
      </c>
      <c r="H90" s="243"/>
      <c r="I90" s="190"/>
      <c r="J90" s="235"/>
      <c r="K90" s="139"/>
      <c r="L90" s="139"/>
      <c r="M90" s="139"/>
      <c r="N90" s="234"/>
    </row>
    <row r="91" spans="1:17" x14ac:dyDescent="0.2">
      <c r="A91" s="94" t="s">
        <v>106</v>
      </c>
      <c r="B91" s="84">
        <f>+'[3]Summary Category RPW Data'!$E$29/1000</f>
        <v>17439.870999999999</v>
      </c>
      <c r="C91" s="197">
        <f t="shared" si="12"/>
        <v>2.6263711712883883E-4</v>
      </c>
      <c r="D91" s="84">
        <f>+'[3]Summary Category RPW Data'!$C$29/1000</f>
        <v>18444.071</v>
      </c>
      <c r="E91" s="84"/>
      <c r="F91" s="84">
        <f>D91+E91</f>
        <v>18444.071</v>
      </c>
      <c r="G91" s="197">
        <f t="shared" si="13"/>
        <v>6.2839994390985845E-4</v>
      </c>
      <c r="H91" s="242"/>
      <c r="I91" s="197"/>
      <c r="J91" s="207"/>
      <c r="K91" s="84"/>
      <c r="L91" s="84"/>
      <c r="M91" s="84"/>
      <c r="N91" s="233"/>
    </row>
    <row r="92" spans="1:17" ht="15.75" x14ac:dyDescent="0.25">
      <c r="A92" s="95" t="s">
        <v>107</v>
      </c>
      <c r="B92" s="139">
        <f>B90+B91</f>
        <v>231474.951</v>
      </c>
      <c r="C92" s="190">
        <f t="shared" si="12"/>
        <v>3.4859153383748785E-3</v>
      </c>
      <c r="D92" s="139">
        <f>D90+D91</f>
        <v>457641.23499999999</v>
      </c>
      <c r="E92" s="139"/>
      <c r="F92" s="139">
        <f>F90+F91</f>
        <v>457641.23499999999</v>
      </c>
      <c r="G92" s="190">
        <f t="shared" si="13"/>
        <v>1.5592096040230942E-2</v>
      </c>
      <c r="H92" s="241"/>
      <c r="I92" s="190"/>
      <c r="J92" s="139"/>
      <c r="K92" s="139"/>
      <c r="L92" s="139"/>
      <c r="M92" s="139"/>
      <c r="N92" s="234"/>
    </row>
    <row r="93" spans="1:17" x14ac:dyDescent="0.2">
      <c r="A93" s="94" t="s">
        <v>295</v>
      </c>
      <c r="B93" s="84">
        <f>+'[3]Summary Category RPW Data'!$F$33/1000</f>
        <v>223385.476</v>
      </c>
      <c r="C93" s="207"/>
      <c r="D93" s="84">
        <f>+'[3]Summary Category RPW Data'!$D$33/1000</f>
        <v>144810.693</v>
      </c>
      <c r="E93" s="84"/>
      <c r="F93" s="84">
        <f>D93+E93</f>
        <v>144810.693</v>
      </c>
      <c r="G93" s="207"/>
      <c r="H93" s="242"/>
      <c r="I93" s="207"/>
      <c r="J93" s="207"/>
      <c r="K93" s="84"/>
      <c r="L93" s="84"/>
      <c r="M93" s="84"/>
      <c r="N93" s="233"/>
    </row>
    <row r="94" spans="1:17" x14ac:dyDescent="0.2">
      <c r="A94" s="124" t="s">
        <v>294</v>
      </c>
      <c r="B94" s="207">
        <f>+'[3]Summary Category RPW Data'!$F$42/1000</f>
        <v>164326.78599999999</v>
      </c>
      <c r="C94" s="207"/>
      <c r="D94" s="207">
        <f>+'[3]Summary Category RPW Data'!$D$42/1000</f>
        <v>136630.14499999999</v>
      </c>
      <c r="E94" s="84"/>
      <c r="F94" s="84">
        <f>D94+E94</f>
        <v>136630.14499999999</v>
      </c>
      <c r="G94" s="207"/>
      <c r="H94" s="242"/>
      <c r="I94" s="207"/>
      <c r="J94" s="207"/>
      <c r="K94" s="84"/>
      <c r="L94" s="84"/>
      <c r="M94" s="84"/>
      <c r="N94" s="233"/>
    </row>
    <row r="95" spans="1:17" ht="15.75" x14ac:dyDescent="0.25">
      <c r="A95" s="95" t="s">
        <v>108</v>
      </c>
      <c r="B95" s="139">
        <f>SUM(B93:B94)</f>
        <v>387712.26199999999</v>
      </c>
      <c r="C95" s="139"/>
      <c r="D95" s="139">
        <f>SUM(D93:D94)</f>
        <v>281440.83799999999</v>
      </c>
      <c r="E95" s="84"/>
      <c r="F95" s="139">
        <f>SUM(F93:F94)</f>
        <v>281440.83799999999</v>
      </c>
      <c r="G95" s="139"/>
      <c r="H95" s="241"/>
      <c r="I95" s="139"/>
      <c r="J95" s="139"/>
      <c r="K95" s="139"/>
      <c r="L95" s="139"/>
      <c r="M95" s="139"/>
      <c r="N95" s="234"/>
    </row>
    <row r="96" spans="1:17" s="200" customFormat="1" ht="15.75" x14ac:dyDescent="0.25">
      <c r="A96" s="97" t="s">
        <v>109</v>
      </c>
      <c r="B96" s="139">
        <f>B92+B95</f>
        <v>619187.21299999999</v>
      </c>
      <c r="C96" s="190">
        <f>B96/B$102</f>
        <v>9.3246988229075938E-3</v>
      </c>
      <c r="D96" s="139">
        <f>D92+D95</f>
        <v>739082.07299999997</v>
      </c>
      <c r="E96" s="139"/>
      <c r="F96" s="139">
        <f>F92+F95</f>
        <v>739082.07299999997</v>
      </c>
      <c r="G96" s="190">
        <f>F96/F$102</f>
        <v>2.5180944771790451E-2</v>
      </c>
      <c r="H96" s="241"/>
      <c r="I96" s="190"/>
      <c r="J96" s="139"/>
      <c r="K96" s="139"/>
      <c r="L96" s="139"/>
      <c r="M96" s="139"/>
      <c r="N96" s="234"/>
      <c r="O96" s="124"/>
      <c r="P96" s="124"/>
      <c r="Q96" s="124"/>
    </row>
    <row r="97" spans="1:14" x14ac:dyDescent="0.2">
      <c r="A97" s="94" t="s">
        <v>110</v>
      </c>
      <c r="B97" s="84"/>
      <c r="C97" s="84"/>
      <c r="D97" s="84">
        <f>E121</f>
        <v>514.39800000000002</v>
      </c>
      <c r="E97" s="84"/>
      <c r="F97" s="84">
        <f>D97+E97</f>
        <v>514.39800000000002</v>
      </c>
      <c r="G97" s="197">
        <f>F97/F$102</f>
        <v>1.7525831165329141E-5</v>
      </c>
      <c r="H97" s="242"/>
      <c r="I97" s="84"/>
      <c r="J97" s="207"/>
      <c r="K97" s="84"/>
      <c r="N97" s="131"/>
    </row>
    <row r="98" spans="1:14" ht="15.75" x14ac:dyDescent="0.25">
      <c r="A98" s="97" t="s">
        <v>109</v>
      </c>
      <c r="B98" s="139">
        <f>SUM(B96:B97)</f>
        <v>619187.21299999999</v>
      </c>
      <c r="C98" s="190">
        <f>B98/B$102</f>
        <v>9.3246988229075938E-3</v>
      </c>
      <c r="D98" s="139">
        <f>SUM(D96:D97)</f>
        <v>739596.47100000002</v>
      </c>
      <c r="E98" s="139"/>
      <c r="F98" s="139">
        <f>SUM(F96:F97)</f>
        <v>739596.47100000002</v>
      </c>
      <c r="G98" s="190">
        <f>F98/F$102</f>
        <v>2.5198470602955783E-2</v>
      </c>
      <c r="H98" s="241"/>
      <c r="I98" s="190"/>
      <c r="J98" s="139"/>
      <c r="K98" s="139"/>
      <c r="L98" s="139"/>
      <c r="M98" s="139"/>
      <c r="N98" s="234"/>
    </row>
    <row r="99" spans="1:14" ht="15.75" x14ac:dyDescent="0.25">
      <c r="A99" s="97"/>
      <c r="B99" s="139"/>
      <c r="C99" s="139"/>
      <c r="D99" s="139"/>
      <c r="E99" s="139"/>
      <c r="F99" s="139"/>
      <c r="G99" s="139"/>
      <c r="H99" s="242"/>
      <c r="I99" s="139"/>
      <c r="J99" s="207"/>
      <c r="N99" s="131"/>
    </row>
    <row r="100" spans="1:14" ht="15.75" x14ac:dyDescent="0.25">
      <c r="A100" s="97" t="s">
        <v>111</v>
      </c>
      <c r="B100" s="139">
        <f>B81+B96</f>
        <v>66402918.181000002</v>
      </c>
      <c r="C100" s="190">
        <f>B100/B$102</f>
        <v>1</v>
      </c>
      <c r="D100" s="139">
        <f>D81+D96</f>
        <v>29214693.454999994</v>
      </c>
      <c r="E100" s="139"/>
      <c r="F100" s="139">
        <f>F81+F96</f>
        <v>29214693.454999994</v>
      </c>
      <c r="G100" s="190">
        <f>F100/F$102</f>
        <v>0.99536115039167361</v>
      </c>
      <c r="H100" s="241"/>
      <c r="I100" s="190"/>
      <c r="J100" s="139"/>
      <c r="K100" s="139"/>
      <c r="L100" s="139"/>
      <c r="M100" s="139"/>
      <c r="N100" s="234"/>
    </row>
    <row r="101" spans="1:14" ht="15.75" x14ac:dyDescent="0.25">
      <c r="A101" s="97" t="s">
        <v>112</v>
      </c>
      <c r="B101" s="84"/>
      <c r="C101" s="84"/>
      <c r="D101" s="84">
        <f>D82+D97</f>
        <v>136154.16800000001</v>
      </c>
      <c r="E101" s="84"/>
      <c r="F101" s="84">
        <f>F82+F97</f>
        <v>136154.16800000001</v>
      </c>
      <c r="G101" s="197">
        <f>F101/F$102</f>
        <v>4.6388496083263533E-3</v>
      </c>
      <c r="H101" s="240"/>
      <c r="I101" s="84"/>
      <c r="J101" s="207"/>
      <c r="K101" s="84"/>
      <c r="N101" s="131"/>
    </row>
    <row r="102" spans="1:14" ht="15.75" x14ac:dyDescent="0.25">
      <c r="A102" s="237" t="s">
        <v>28</v>
      </c>
      <c r="B102" s="139">
        <f>SUM(B100:B101)</f>
        <v>66402918.181000002</v>
      </c>
      <c r="C102" s="190">
        <f>B102/B$102</f>
        <v>1</v>
      </c>
      <c r="D102" s="139">
        <f>SUM(D100:D101)</f>
        <v>29350847.622999996</v>
      </c>
      <c r="E102" s="139"/>
      <c r="F102" s="139">
        <f>SUM(F100:F101)</f>
        <v>29350847.622999996</v>
      </c>
      <c r="G102" s="190">
        <f>F102/F$102</f>
        <v>1</v>
      </c>
      <c r="H102" s="241"/>
      <c r="I102" s="190"/>
      <c r="J102" s="139"/>
      <c r="K102" s="139"/>
      <c r="L102" s="139"/>
      <c r="M102" s="139"/>
      <c r="N102" s="234"/>
    </row>
    <row r="103" spans="1:14" ht="15.75" x14ac:dyDescent="0.25">
      <c r="A103" s="140"/>
      <c r="B103" s="139"/>
      <c r="C103" s="140"/>
      <c r="D103" s="139"/>
      <c r="E103" s="223"/>
      <c r="H103" s="241"/>
      <c r="I103" s="131"/>
      <c r="J103" s="139"/>
      <c r="N103" s="131"/>
    </row>
    <row r="104" spans="1:14" ht="15.75" x14ac:dyDescent="0.25">
      <c r="B104" s="244"/>
      <c r="D104" s="244"/>
      <c r="G104" s="245"/>
      <c r="H104" s="246"/>
      <c r="I104" s="131"/>
      <c r="J104" s="139"/>
      <c r="N104" s="131"/>
    </row>
    <row r="105" spans="1:14" ht="15.75" x14ac:dyDescent="0.25">
      <c r="A105" s="78" t="s">
        <v>113</v>
      </c>
      <c r="H105" s="84"/>
      <c r="I105" s="84"/>
      <c r="J105" s="84"/>
      <c r="N105" s="131"/>
    </row>
    <row r="106" spans="1:14" ht="15.75" x14ac:dyDescent="0.25">
      <c r="A106" s="140" t="s">
        <v>114</v>
      </c>
      <c r="H106" s="84"/>
      <c r="I106" s="84"/>
      <c r="J106" s="84"/>
      <c r="N106" s="131"/>
    </row>
    <row r="107" spans="1:14" x14ac:dyDescent="0.2">
      <c r="A107" s="94" t="s">
        <v>115</v>
      </c>
      <c r="B107" s="238">
        <f>+'[3]Summary Category RPW Data'!$E$45/1000</f>
        <v>535701.91299999994</v>
      </c>
      <c r="C107" s="238"/>
      <c r="D107" s="238"/>
      <c r="E107" s="238">
        <f>+'[3]Summary Category RPW Data'!$C$45/1000</f>
        <v>59570.28</v>
      </c>
      <c r="F107" s="238"/>
      <c r="G107" s="238"/>
      <c r="H107" s="238"/>
      <c r="I107" s="238"/>
      <c r="J107" s="238"/>
      <c r="K107" s="238">
        <f>E107/B107*100</f>
        <v>11.120042425534518</v>
      </c>
      <c r="L107" s="192"/>
      <c r="N107" s="131"/>
    </row>
    <row r="108" spans="1:14" x14ac:dyDescent="0.2">
      <c r="A108" s="94" t="s">
        <v>116</v>
      </c>
      <c r="B108" s="238">
        <f>+'[3]Summary Category RPW Data'!$E$46/1000</f>
        <v>12619.428</v>
      </c>
      <c r="C108" s="238"/>
      <c r="D108" s="238"/>
      <c r="E108" s="238">
        <f>+'[3]Summary Category RPW Data'!$C$46/1000</f>
        <v>6018.1840000000002</v>
      </c>
      <c r="F108" s="238"/>
      <c r="G108" s="238"/>
      <c r="H108" s="238"/>
      <c r="I108" s="238"/>
      <c r="J108" s="238"/>
      <c r="K108" s="238">
        <f>E108/B108*100</f>
        <v>47.689831900463318</v>
      </c>
      <c r="L108" s="192"/>
      <c r="N108" s="131"/>
    </row>
    <row r="109" spans="1:14" x14ac:dyDescent="0.2">
      <c r="A109" s="94" t="s">
        <v>343</v>
      </c>
      <c r="B109" s="238">
        <f>+'[3]Summary Category RPW Data'!$E$47/1000</f>
        <v>13911.319</v>
      </c>
      <c r="C109" s="238"/>
      <c r="D109" s="238"/>
      <c r="E109" s="238">
        <f>+'[3]Summary Category RPW Data'!$C$47/1000</f>
        <v>139.09100000000001</v>
      </c>
      <c r="F109" s="238"/>
      <c r="G109" s="238"/>
      <c r="H109" s="238"/>
      <c r="I109" s="238"/>
      <c r="J109" s="238"/>
      <c r="K109" s="238"/>
      <c r="L109" s="192"/>
      <c r="N109" s="131"/>
    </row>
    <row r="110" spans="1:14" x14ac:dyDescent="0.2">
      <c r="A110" s="94" t="s">
        <v>118</v>
      </c>
      <c r="B110" s="238">
        <f>+'[3]Summary Category RPW Data'!$E$48/1000</f>
        <v>182.285</v>
      </c>
      <c r="C110" s="238"/>
      <c r="D110" s="238"/>
      <c r="E110" s="238">
        <f>+'[3]Summary Category RPW Data'!$C$48/1000</f>
        <v>1610.5319999999999</v>
      </c>
      <c r="F110" s="238"/>
      <c r="G110" s="238"/>
      <c r="H110" s="238"/>
      <c r="I110" s="238"/>
      <c r="J110" s="238"/>
      <c r="K110" s="238">
        <f>E110/B110*100</f>
        <v>883.52415174040641</v>
      </c>
      <c r="L110" s="192"/>
      <c r="N110" s="131"/>
    </row>
    <row r="111" spans="1:14" x14ac:dyDescent="0.2">
      <c r="A111" s="94" t="s">
        <v>119</v>
      </c>
      <c r="B111" s="238">
        <f>+'[3]Summary Category RPW Data'!$E$50/1000</f>
        <v>662.81899999999996</v>
      </c>
      <c r="C111" s="238"/>
      <c r="D111" s="238"/>
      <c r="E111" s="238">
        <f>+'[3]Summary Category RPW Data'!$C$50/1000</f>
        <v>791.22</v>
      </c>
      <c r="F111" s="238"/>
      <c r="G111" s="238"/>
      <c r="H111" s="238"/>
      <c r="I111" s="238"/>
      <c r="J111" s="238"/>
      <c r="K111" s="238">
        <f>E111/B111*100</f>
        <v>119.37195523966575</v>
      </c>
      <c r="L111" s="192"/>
      <c r="N111" s="131"/>
    </row>
    <row r="112" spans="1:14" x14ac:dyDescent="0.2">
      <c r="A112" s="94" t="s">
        <v>120</v>
      </c>
      <c r="B112" s="192">
        <f>+'[3]Summary Category RPW Data'!$E$43</f>
        <v>0</v>
      </c>
      <c r="C112" s="238"/>
      <c r="D112" s="238"/>
      <c r="E112" s="192">
        <f>+'[3]Summary Category RPW Data'!$C$43/1000</f>
        <v>18702.687000000002</v>
      </c>
      <c r="F112" s="238"/>
      <c r="G112" s="238"/>
      <c r="H112" s="238"/>
      <c r="I112" s="238"/>
      <c r="J112" s="238"/>
      <c r="K112" s="238"/>
      <c r="L112" s="192"/>
      <c r="N112" s="131"/>
    </row>
    <row r="113" spans="1:14" x14ac:dyDescent="0.2">
      <c r="A113" s="94" t="s">
        <v>121</v>
      </c>
      <c r="B113" s="192">
        <f>+'[3]Summary Category RPW Data'!$E$44/1000</f>
        <v>0</v>
      </c>
      <c r="C113" s="238"/>
      <c r="D113" s="238"/>
      <c r="E113" s="192">
        <f>+'[3]Summary Category RPW Data'!$C$44/1000</f>
        <v>48807.775999999998</v>
      </c>
      <c r="F113" s="238"/>
      <c r="G113" s="238"/>
      <c r="H113" s="238"/>
      <c r="I113" s="238"/>
      <c r="J113" s="238"/>
      <c r="K113" s="238"/>
      <c r="L113" s="192"/>
      <c r="N113" s="131"/>
    </row>
    <row r="114" spans="1:14" ht="15.75" x14ac:dyDescent="0.25">
      <c r="A114" s="95" t="s">
        <v>122</v>
      </c>
      <c r="B114" s="239">
        <f>SUM(B107:B113)</f>
        <v>563077.76399999997</v>
      </c>
      <c r="C114" s="239"/>
      <c r="D114" s="239"/>
      <c r="E114" s="239">
        <f>SUM(E107:E113)</f>
        <v>135639.77000000002</v>
      </c>
      <c r="F114" s="238"/>
      <c r="G114" s="238"/>
      <c r="H114" s="239"/>
      <c r="I114" s="239"/>
      <c r="J114" s="239"/>
      <c r="K114" s="239">
        <f>E114/B114*100</f>
        <v>24.088994215726128</v>
      </c>
      <c r="L114" s="192"/>
      <c r="N114" s="131"/>
    </row>
    <row r="115" spans="1:14" ht="15.75" x14ac:dyDescent="0.25">
      <c r="A115" s="140" t="s">
        <v>123</v>
      </c>
      <c r="B115" s="238"/>
      <c r="C115" s="238"/>
      <c r="D115" s="238"/>
      <c r="E115" s="238"/>
      <c r="F115" s="238"/>
      <c r="G115" s="238"/>
      <c r="H115" s="238"/>
      <c r="I115" s="238"/>
      <c r="J115" s="238"/>
      <c r="K115" s="238"/>
      <c r="L115" s="192"/>
      <c r="N115" s="131"/>
    </row>
    <row r="116" spans="1:14" x14ac:dyDescent="0.2">
      <c r="A116" s="94" t="s">
        <v>124</v>
      </c>
      <c r="B116" s="192">
        <v>0</v>
      </c>
      <c r="C116" s="238"/>
      <c r="D116" s="238"/>
      <c r="E116" s="192">
        <v>0</v>
      </c>
      <c r="F116" s="238"/>
      <c r="G116" s="238"/>
      <c r="H116" s="238"/>
      <c r="I116" s="238"/>
      <c r="J116" s="238"/>
      <c r="K116" s="238"/>
      <c r="L116" s="192"/>
      <c r="N116" s="131"/>
    </row>
    <row r="117" spans="1:14" x14ac:dyDescent="0.2">
      <c r="A117" s="94" t="s">
        <v>125</v>
      </c>
      <c r="B117" s="238">
        <f>+'[3]Summary Category RPW Data'!$E$49/1000</f>
        <v>621.40700000000004</v>
      </c>
      <c r="C117" s="238"/>
      <c r="D117" s="238"/>
      <c r="E117" s="238">
        <f>+'[3]Summary Category RPW Data'!$C$49/1000</f>
        <v>347.59500000000003</v>
      </c>
      <c r="F117" s="238"/>
      <c r="G117" s="238"/>
      <c r="H117" s="238"/>
      <c r="I117" s="238"/>
      <c r="J117" s="238"/>
      <c r="K117" s="238">
        <f t="shared" ref="K117:K122" si="14">E117/B117*100</f>
        <v>55.936769299348086</v>
      </c>
      <c r="L117" s="192"/>
      <c r="N117" s="131"/>
    </row>
    <row r="118" spans="1:14" x14ac:dyDescent="0.2">
      <c r="A118" s="94" t="s">
        <v>126</v>
      </c>
      <c r="B118" s="238">
        <f>+'[3]Summary Category RPW Data'!$E$51/1000</f>
        <v>35.555</v>
      </c>
      <c r="C118" s="238"/>
      <c r="D118" s="238"/>
      <c r="E118" s="238">
        <f>+'[3]Summary Category RPW Data'!$C$51/1000</f>
        <v>33.067</v>
      </c>
      <c r="F118" s="238"/>
      <c r="G118" s="238"/>
      <c r="H118" s="238"/>
      <c r="I118" s="238"/>
      <c r="J118" s="238"/>
      <c r="K118" s="238">
        <f t="shared" si="14"/>
        <v>93.002390662354088</v>
      </c>
      <c r="L118" s="192"/>
      <c r="N118" s="131"/>
    </row>
    <row r="119" spans="1:14" x14ac:dyDescent="0.2">
      <c r="A119" s="94" t="s">
        <v>127</v>
      </c>
      <c r="B119" s="238">
        <f>+'[3]Summary Category RPW Data'!$E$52</f>
        <v>0</v>
      </c>
      <c r="C119" s="238"/>
      <c r="D119" s="238"/>
      <c r="E119" s="238">
        <f>+'[3]Summary Category RPW Data'!$C$52</f>
        <v>0</v>
      </c>
      <c r="F119" s="238"/>
      <c r="G119" s="238"/>
      <c r="H119" s="238"/>
      <c r="I119" s="238"/>
      <c r="J119" s="238"/>
      <c r="K119" s="238" t="e">
        <f t="shared" si="14"/>
        <v>#DIV/0!</v>
      </c>
      <c r="L119" s="192"/>
      <c r="N119" s="131"/>
    </row>
    <row r="120" spans="1:14" x14ac:dyDescent="0.2">
      <c r="A120" s="94" t="s">
        <v>128</v>
      </c>
      <c r="B120" s="238">
        <f>+'[3]Summary Category RPW Data'!$E$53/1000</f>
        <v>238.13900000000001</v>
      </c>
      <c r="C120" s="238"/>
      <c r="D120" s="238"/>
      <c r="E120" s="238">
        <f>+'[3]Summary Category RPW Data'!$C$53/1000</f>
        <v>133.73599999999999</v>
      </c>
      <c r="F120" s="238"/>
      <c r="G120" s="238"/>
      <c r="H120" s="238"/>
      <c r="I120" s="238"/>
      <c r="J120" s="238"/>
      <c r="K120" s="238">
        <f t="shared" si="14"/>
        <v>56.158798012925217</v>
      </c>
      <c r="L120" s="192"/>
      <c r="N120" s="131"/>
    </row>
    <row r="121" spans="1:14" ht="15.75" x14ac:dyDescent="0.25">
      <c r="A121" s="95" t="s">
        <v>129</v>
      </c>
      <c r="B121" s="239">
        <f>SUM(B116:B120)</f>
        <v>895.101</v>
      </c>
      <c r="C121" s="239"/>
      <c r="D121" s="239"/>
      <c r="E121" s="239">
        <f>SUM(E116:E120)</f>
        <v>514.39800000000002</v>
      </c>
      <c r="F121" s="238"/>
      <c r="G121" s="238"/>
      <c r="H121" s="239"/>
      <c r="I121" s="239"/>
      <c r="J121" s="239"/>
      <c r="K121" s="239">
        <f t="shared" si="14"/>
        <v>57.468151638753618</v>
      </c>
      <c r="L121" s="192"/>
      <c r="N121" s="131"/>
    </row>
    <row r="122" spans="1:14" ht="15.75" x14ac:dyDescent="0.25">
      <c r="A122" s="95" t="s">
        <v>130</v>
      </c>
      <c r="B122" s="239">
        <f>B114+B121</f>
        <v>563972.86499999999</v>
      </c>
      <c r="C122" s="239"/>
      <c r="D122" s="239"/>
      <c r="E122" s="239">
        <f>E114+E121</f>
        <v>136154.16800000001</v>
      </c>
      <c r="F122" s="238"/>
      <c r="G122" s="238"/>
      <c r="H122" s="239"/>
      <c r="I122" s="239"/>
      <c r="J122" s="239"/>
      <c r="K122" s="239">
        <f t="shared" si="14"/>
        <v>24.141971440416732</v>
      </c>
      <c r="L122" s="192"/>
      <c r="N122" s="131"/>
    </row>
    <row r="151" ht="14.45" customHeight="1" x14ac:dyDescent="0.2"/>
    <row r="159" ht="13.9" customHeight="1" x14ac:dyDescent="0.2"/>
  </sheetData>
  <phoneticPr fontId="19" type="noConversion"/>
  <printOptions horizontalCentered="1" headings="1" gridLines="1"/>
  <pageMargins left="0.25" right="0.25" top="0.5" bottom="0.25" header="0.5" footer="0.5"/>
  <pageSetup scale="4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Q136"/>
  <sheetViews>
    <sheetView zoomScale="70" zoomScaleNormal="70" workbookViewId="0">
      <pane ySplit="9" topLeftCell="A10" activePane="bottomLeft" state="frozen"/>
      <selection pane="bottomLeft" activeCell="H13" sqref="H13:H14"/>
    </sheetView>
  </sheetViews>
  <sheetFormatPr defaultColWidth="8.85546875" defaultRowHeight="15" x14ac:dyDescent="0.2"/>
  <cols>
    <col min="1" max="1" width="56.85546875" style="63" bestFit="1" customWidth="1"/>
    <col min="2" max="2" width="23.7109375" style="63" bestFit="1" customWidth="1"/>
    <col min="3" max="3" width="9.85546875" style="63" bestFit="1" customWidth="1"/>
    <col min="4" max="4" width="20.140625" style="63" bestFit="1" customWidth="1"/>
    <col min="5" max="5" width="20.140625" style="63" customWidth="1"/>
    <col min="6" max="6" width="20.140625" style="63" bestFit="1" customWidth="1"/>
    <col min="7" max="7" width="9.85546875" style="63" bestFit="1" customWidth="1"/>
    <col min="8" max="8" width="19.7109375" style="63" customWidth="1"/>
    <col min="9" max="9" width="14.5703125" style="63" bestFit="1" customWidth="1"/>
    <col min="10" max="10" width="22" style="63" customWidth="1"/>
    <col min="11" max="11" width="14" style="63" bestFit="1" customWidth="1"/>
    <col min="12" max="12" width="14.5703125" style="63" customWidth="1"/>
    <col min="13" max="13" width="17.28515625" style="63" customWidth="1"/>
    <col min="14" max="14" width="16" style="63" bestFit="1" customWidth="1"/>
    <col min="15" max="15" width="9.28515625" style="63" customWidth="1"/>
    <col min="16" max="16" width="16.28515625" style="63" bestFit="1" customWidth="1"/>
    <col min="17" max="17" width="14.7109375" style="63" customWidth="1"/>
    <col min="18" max="16384" width="8.85546875" style="63"/>
  </cols>
  <sheetData>
    <row r="1" spans="1:14" ht="15.75" x14ac:dyDescent="0.25">
      <c r="A1" s="60" t="str">
        <f>+Financial_Results!A1</f>
        <v>2013 ACD</v>
      </c>
      <c r="B1" s="73"/>
      <c r="C1" s="73"/>
      <c r="D1" s="73"/>
      <c r="E1" s="73"/>
      <c r="F1" s="62"/>
      <c r="G1" s="62"/>
      <c r="H1" s="62"/>
      <c r="I1" s="62"/>
      <c r="J1" s="62"/>
    </row>
    <row r="2" spans="1:14" ht="15.75" x14ac:dyDescent="0.25">
      <c r="A2" s="64">
        <f ca="1">NOW()</f>
        <v>41706.557639120372</v>
      </c>
      <c r="B2" s="73"/>
      <c r="C2" s="73"/>
      <c r="D2" s="73"/>
      <c r="E2" s="73"/>
      <c r="F2" s="62"/>
      <c r="G2" s="62"/>
      <c r="H2" s="62"/>
      <c r="I2" s="62"/>
      <c r="J2" s="62"/>
    </row>
    <row r="3" spans="1:14" ht="15.75" x14ac:dyDescent="0.25">
      <c r="A3" s="65"/>
      <c r="B3" s="66" t="s">
        <v>321</v>
      </c>
      <c r="C3" s="66"/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</row>
    <row r="4" spans="1:14" ht="15.75" x14ac:dyDescent="0.25">
      <c r="A4" s="65"/>
      <c r="B4" s="18" t="s">
        <v>131</v>
      </c>
      <c r="C4" s="18"/>
      <c r="D4" s="18"/>
      <c r="E4" s="18"/>
      <c r="F4" s="67"/>
      <c r="G4" s="67"/>
      <c r="H4" s="67"/>
      <c r="I4" s="67"/>
      <c r="J4" s="67"/>
      <c r="K4" s="67"/>
      <c r="L4" s="67"/>
      <c r="M4" s="67"/>
      <c r="N4" s="67"/>
    </row>
    <row r="5" spans="1:14" ht="51" customHeight="1" x14ac:dyDescent="0.25">
      <c r="A5" s="68"/>
      <c r="B5" s="18" t="s">
        <v>322</v>
      </c>
      <c r="C5" s="18"/>
      <c r="D5" s="18"/>
      <c r="E5" s="18"/>
      <c r="F5" s="67"/>
      <c r="G5" s="67"/>
      <c r="H5" s="67"/>
      <c r="I5" s="67"/>
      <c r="J5" s="67"/>
      <c r="K5" s="67"/>
      <c r="L5" s="67"/>
      <c r="M5" s="67"/>
      <c r="N5" s="67"/>
    </row>
    <row r="6" spans="1:14" ht="15.75" x14ac:dyDescent="0.25">
      <c r="A6" s="68"/>
      <c r="B6" s="20"/>
      <c r="C6" s="20"/>
      <c r="D6" s="20"/>
      <c r="E6" s="20"/>
      <c r="F6" s="69"/>
      <c r="G6" s="69"/>
      <c r="H6" s="69"/>
      <c r="I6" s="69"/>
      <c r="J6" s="135" t="s">
        <v>13</v>
      </c>
      <c r="K6" s="68"/>
      <c r="L6" s="136"/>
      <c r="M6" s="135" t="s">
        <v>13</v>
      </c>
      <c r="N6" s="136"/>
    </row>
    <row r="7" spans="1:14" ht="15.75" x14ac:dyDescent="0.25">
      <c r="D7" s="70" t="s">
        <v>84</v>
      </c>
      <c r="E7" s="70"/>
      <c r="F7" s="60" t="s">
        <v>12</v>
      </c>
      <c r="G7" s="60"/>
      <c r="H7" s="70" t="s">
        <v>14</v>
      </c>
      <c r="I7" s="70"/>
      <c r="J7" s="135" t="s">
        <v>0</v>
      </c>
      <c r="L7" s="136"/>
      <c r="M7" s="135" t="s">
        <v>0</v>
      </c>
      <c r="N7" s="136"/>
    </row>
    <row r="8" spans="1:14" ht="15.75" x14ac:dyDescent="0.25">
      <c r="B8" s="60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60" t="s">
        <v>1</v>
      </c>
      <c r="I8" s="60" t="s">
        <v>4</v>
      </c>
      <c r="J8" s="135" t="s">
        <v>1</v>
      </c>
      <c r="K8" s="60" t="s">
        <v>15</v>
      </c>
      <c r="L8" s="135" t="s">
        <v>16</v>
      </c>
      <c r="M8" s="135" t="s">
        <v>16</v>
      </c>
      <c r="N8" s="135" t="s">
        <v>1</v>
      </c>
    </row>
    <row r="9" spans="1:14" ht="15.75" x14ac:dyDescent="0.25">
      <c r="A9" s="60" t="s">
        <v>86</v>
      </c>
      <c r="B9" s="71" t="s">
        <v>5</v>
      </c>
      <c r="C9" s="72" t="s">
        <v>7</v>
      </c>
      <c r="D9" s="71" t="s">
        <v>5</v>
      </c>
      <c r="E9" s="71" t="s">
        <v>5</v>
      </c>
      <c r="F9" s="71" t="s">
        <v>5</v>
      </c>
      <c r="G9" s="72" t="s">
        <v>7</v>
      </c>
      <c r="H9" s="71" t="s">
        <v>5</v>
      </c>
      <c r="I9" s="72" t="s">
        <v>7</v>
      </c>
      <c r="J9" s="137" t="s">
        <v>6</v>
      </c>
      <c r="K9" s="72" t="s">
        <v>17</v>
      </c>
      <c r="L9" s="137" t="s">
        <v>17</v>
      </c>
      <c r="M9" s="137" t="s">
        <v>17</v>
      </c>
      <c r="N9" s="137" t="s">
        <v>18</v>
      </c>
    </row>
    <row r="10" spans="1:14" ht="15.75" x14ac:dyDescent="0.25">
      <c r="A10" s="140" t="s">
        <v>352</v>
      </c>
      <c r="B10" s="74"/>
      <c r="C10" s="74"/>
      <c r="D10" s="74"/>
      <c r="E10" s="74"/>
      <c r="F10" s="74"/>
      <c r="G10" s="74"/>
      <c r="H10" s="74"/>
      <c r="I10" s="74"/>
      <c r="J10" s="138"/>
      <c r="K10" s="75"/>
      <c r="L10" s="138"/>
      <c r="M10" s="138"/>
      <c r="N10" s="138"/>
    </row>
    <row r="11" spans="1:14" ht="15.75" x14ac:dyDescent="0.25">
      <c r="A11" s="73" t="s">
        <v>131</v>
      </c>
      <c r="N11" s="83"/>
    </row>
    <row r="12" spans="1:14" ht="15.75" x14ac:dyDescent="0.25">
      <c r="A12" s="73"/>
      <c r="N12" s="83"/>
    </row>
    <row r="13" spans="1:14" x14ac:dyDescent="0.2">
      <c r="A13" s="162" t="s">
        <v>344</v>
      </c>
      <c r="B13" s="248">
        <f>+B37</f>
        <v>5711634.5130000003</v>
      </c>
      <c r="C13" s="152">
        <f t="shared" ref="C13:C21" si="0">+B13/$B$23</f>
        <v>7.054651520222073E-2</v>
      </c>
      <c r="D13" s="248">
        <f>+D37</f>
        <v>805189.44400000013</v>
      </c>
      <c r="E13" s="336">
        <f>+[5]SM!$S20/1000</f>
        <v>3373.5249133529201</v>
      </c>
      <c r="F13" s="248">
        <f t="shared" ref="F13:F21" si="1">+D13+E13</f>
        <v>808562.96891335305</v>
      </c>
      <c r="G13" s="152">
        <f t="shared" ref="G13:G21" si="2">+F13/$F$23</f>
        <v>4.7603742898139199E-2</v>
      </c>
      <c r="H13" s="62">
        <f>+[4]CS21!$K22</f>
        <v>341410.95649228763</v>
      </c>
      <c r="I13" s="152">
        <f t="shared" ref="I13:I21" si="3">+H13/$H$23</f>
        <v>3.2144184004779752E-2</v>
      </c>
      <c r="J13" s="248">
        <f t="shared" ref="J13:J21" si="4">+F13-H13</f>
        <v>467152.01242106542</v>
      </c>
      <c r="K13" s="248">
        <f t="shared" ref="K13:K23" si="5">+F13/B13*100</f>
        <v>14.156419971778977</v>
      </c>
      <c r="L13" s="248">
        <f>+H13/B13*100</f>
        <v>5.9774650446420754</v>
      </c>
      <c r="M13" s="248">
        <f>+J13/B13*100</f>
        <v>8.1789549271369033</v>
      </c>
      <c r="N13" s="340">
        <f>+F13/H13</f>
        <v>2.3682982444988352</v>
      </c>
    </row>
    <row r="14" spans="1:14" x14ac:dyDescent="0.2">
      <c r="A14" s="162" t="s">
        <v>345</v>
      </c>
      <c r="B14" s="248">
        <f>+B54</f>
        <v>11337794.242000001</v>
      </c>
      <c r="C14" s="152">
        <f t="shared" si="0"/>
        <v>0.14003729966131739</v>
      </c>
      <c r="D14" s="248">
        <f>+D54</f>
        <v>1929849.5160000001</v>
      </c>
      <c r="E14" s="336">
        <f>+[5]SM!$S21/1000</f>
        <v>3947.6365183678981</v>
      </c>
      <c r="F14" s="248">
        <f t="shared" si="1"/>
        <v>1933797.1525183679</v>
      </c>
      <c r="G14" s="152">
        <f t="shared" si="2"/>
        <v>0.11385134615966185</v>
      </c>
      <c r="H14" s="62">
        <f>+[4]CS21!$K23</f>
        <v>842701.13789624779</v>
      </c>
      <c r="I14" s="152">
        <f t="shared" si="3"/>
        <v>7.9341157401274481E-2</v>
      </c>
      <c r="J14" s="248">
        <f t="shared" si="4"/>
        <v>1091096.0146221202</v>
      </c>
      <c r="K14" s="248">
        <f t="shared" si="5"/>
        <v>17.056202566763496</v>
      </c>
      <c r="L14" s="248">
        <f t="shared" ref="L14:L23" si="6">+H14/B14*100</f>
        <v>7.4326727043124956</v>
      </c>
      <c r="M14" s="248">
        <f t="shared" ref="M14:M23" si="7">+J14/B14*100</f>
        <v>9.6235298624510008</v>
      </c>
      <c r="N14" s="340">
        <f t="shared" ref="N14:N23" si="8">+F14/H14</f>
        <v>2.2947603433240578</v>
      </c>
    </row>
    <row r="15" spans="1:14" x14ac:dyDescent="0.2">
      <c r="A15" s="162" t="s">
        <v>346</v>
      </c>
      <c r="B15" s="248">
        <f>+B92</f>
        <v>974774.14099999995</v>
      </c>
      <c r="C15" s="152">
        <f t="shared" si="0"/>
        <v>1.2039796769255944E-2</v>
      </c>
      <c r="D15" s="248">
        <f>+D92</f>
        <v>138417.92800000001</v>
      </c>
      <c r="E15" s="336">
        <f>+[5]SM!$S22/1000</f>
        <v>0</v>
      </c>
      <c r="F15" s="248">
        <f t="shared" si="1"/>
        <v>138417.92800000001</v>
      </c>
      <c r="G15" s="152">
        <f t="shared" si="2"/>
        <v>8.1492867102985703E-3</v>
      </c>
      <c r="H15" s="62">
        <f>+[4]CS21!$K24</f>
        <v>38458.075127044969</v>
      </c>
      <c r="I15" s="152">
        <f t="shared" si="3"/>
        <v>3.6208663484450956E-3</v>
      </c>
      <c r="J15" s="248">
        <f t="shared" si="4"/>
        <v>99959.852872955045</v>
      </c>
      <c r="K15" s="248">
        <f t="shared" si="5"/>
        <v>14.199999997743069</v>
      </c>
      <c r="L15" s="248">
        <f t="shared" si="6"/>
        <v>3.9453318988942048</v>
      </c>
      <c r="M15" s="248">
        <f t="shared" si="7"/>
        <v>10.254668098848864</v>
      </c>
      <c r="N15" s="340">
        <f t="shared" si="8"/>
        <v>3.5991902231908646</v>
      </c>
    </row>
    <row r="16" spans="1:14" x14ac:dyDescent="0.2">
      <c r="A16" s="162" t="s">
        <v>347</v>
      </c>
      <c r="B16" s="248">
        <f>+B66</f>
        <v>9507627.1080000009</v>
      </c>
      <c r="C16" s="152">
        <f t="shared" si="0"/>
        <v>0.11743222693695632</v>
      </c>
      <c r="D16" s="248">
        <f>+D66</f>
        <v>2372735.2889999999</v>
      </c>
      <c r="E16" s="336">
        <f>+[5]SM!$S23/1000</f>
        <v>5166.4397627966255</v>
      </c>
      <c r="F16" s="248">
        <f t="shared" si="1"/>
        <v>2377901.7287627966</v>
      </c>
      <c r="G16" s="152">
        <f t="shared" si="2"/>
        <v>0.13999778234364735</v>
      </c>
      <c r="H16" s="62">
        <f>+[4]CS21!$K25</f>
        <v>1778661.3116236159</v>
      </c>
      <c r="I16" s="152">
        <f t="shared" si="3"/>
        <v>0.16746274656918911</v>
      </c>
      <c r="J16" s="248">
        <f t="shared" si="4"/>
        <v>599240.4171391807</v>
      </c>
      <c r="K16" s="248">
        <f t="shared" si="5"/>
        <v>25.010464774769716</v>
      </c>
      <c r="L16" s="248">
        <f t="shared" si="6"/>
        <v>18.707731081785877</v>
      </c>
      <c r="M16" s="248">
        <f t="shared" si="7"/>
        <v>6.3027336929838365</v>
      </c>
      <c r="N16" s="340">
        <f t="shared" si="8"/>
        <v>1.3369052968224602</v>
      </c>
    </row>
    <row r="17" spans="1:14" x14ac:dyDescent="0.2">
      <c r="A17" s="162" t="s">
        <v>348</v>
      </c>
      <c r="B17" s="248">
        <f>+B80-B74</f>
        <v>46754272.979000002</v>
      </c>
      <c r="C17" s="152">
        <f t="shared" si="0"/>
        <v>0.57747935761200575</v>
      </c>
      <c r="D17" s="248">
        <f>+D80-D74</f>
        <v>9263675.8039999995</v>
      </c>
      <c r="E17" s="336">
        <f>+[5]SM!$S24/1000</f>
        <v>34866.711070736659</v>
      </c>
      <c r="F17" s="248">
        <f t="shared" si="1"/>
        <v>9298542.5150707364</v>
      </c>
      <c r="G17" s="152">
        <f t="shared" si="2"/>
        <v>0.54744706872950866</v>
      </c>
      <c r="H17" s="62">
        <f>+[4]CS21!$K26</f>
        <v>4902887.4433081429</v>
      </c>
      <c r="I17" s="152">
        <f t="shared" si="3"/>
        <v>0.4616117706110619</v>
      </c>
      <c r="J17" s="248">
        <f t="shared" si="4"/>
        <v>4395655.0717625935</v>
      </c>
      <c r="K17" s="248">
        <f t="shared" si="5"/>
        <v>19.888112727679967</v>
      </c>
      <c r="L17" s="248">
        <f t="shared" si="6"/>
        <v>10.486501299058395</v>
      </c>
      <c r="M17" s="248">
        <f t="shared" si="7"/>
        <v>9.4016114286215764</v>
      </c>
      <c r="N17" s="340">
        <f t="shared" si="8"/>
        <v>1.8965441533360385</v>
      </c>
    </row>
    <row r="18" spans="1:14" x14ac:dyDescent="0.2">
      <c r="A18" s="162" t="s">
        <v>349</v>
      </c>
      <c r="B18" s="248">
        <f>+B90</f>
        <v>5568019.4130000006</v>
      </c>
      <c r="C18" s="152">
        <f t="shared" si="0"/>
        <v>6.8772671863267854E-2</v>
      </c>
      <c r="D18" s="248">
        <f>+D90</f>
        <v>2134129.1069999998</v>
      </c>
      <c r="E18" s="336">
        <f>+[5]SM!$S25/1000</f>
        <v>4238.3098847287911</v>
      </c>
      <c r="F18" s="248">
        <f t="shared" si="1"/>
        <v>2138367.4168847287</v>
      </c>
      <c r="G18" s="152">
        <f t="shared" si="2"/>
        <v>0.12589531879247751</v>
      </c>
      <c r="H18" s="62">
        <f>+[4]CS21!$K27</f>
        <v>2514245.8211699976</v>
      </c>
      <c r="I18" s="152">
        <f t="shared" si="3"/>
        <v>0.23671876596837521</v>
      </c>
      <c r="J18" s="248">
        <f t="shared" si="4"/>
        <v>-375878.40428526886</v>
      </c>
      <c r="K18" s="248">
        <f t="shared" si="5"/>
        <v>38.404453330247904</v>
      </c>
      <c r="L18" s="248">
        <f t="shared" si="6"/>
        <v>45.155119525981391</v>
      </c>
      <c r="M18" s="248">
        <f t="shared" si="7"/>
        <v>-6.7506661957334817</v>
      </c>
      <c r="N18" s="340">
        <f t="shared" si="8"/>
        <v>0.85050053534130765</v>
      </c>
    </row>
    <row r="19" spans="1:14" x14ac:dyDescent="0.2">
      <c r="A19" s="162" t="s">
        <v>350</v>
      </c>
      <c r="B19" s="248">
        <f>+B101</f>
        <v>71966.231999999989</v>
      </c>
      <c r="C19" s="152">
        <f t="shared" si="0"/>
        <v>8.8888160968267186E-4</v>
      </c>
      <c r="D19" s="248">
        <f>+D101</f>
        <v>70314.632000000012</v>
      </c>
      <c r="E19" s="336">
        <f>+[5]SM!$S26/1000</f>
        <v>4113.9550454877681</v>
      </c>
      <c r="F19" s="248">
        <f t="shared" si="1"/>
        <v>74428.587045487773</v>
      </c>
      <c r="G19" s="152">
        <f t="shared" si="2"/>
        <v>4.3819460675360907E-3</v>
      </c>
      <c r="H19" s="62">
        <f>+[4]CS21!$K28</f>
        <v>109644.69673193023</v>
      </c>
      <c r="I19" s="152">
        <f t="shared" si="3"/>
        <v>1.032315817602958E-2</v>
      </c>
      <c r="J19" s="248">
        <f t="shared" si="4"/>
        <v>-35216.109686442462</v>
      </c>
      <c r="K19" s="248">
        <f t="shared" si="5"/>
        <v>103.42154226650047</v>
      </c>
      <c r="L19" s="248">
        <f t="shared" si="6"/>
        <v>152.35575586607098</v>
      </c>
      <c r="M19" s="248">
        <f t="shared" si="7"/>
        <v>-48.934213599570512</v>
      </c>
      <c r="N19" s="340">
        <f t="shared" si="8"/>
        <v>0.67881611481363158</v>
      </c>
    </row>
    <row r="20" spans="1:14" x14ac:dyDescent="0.2">
      <c r="A20" s="283" t="s">
        <v>351</v>
      </c>
      <c r="B20" s="255">
        <f>+B74</f>
        <v>1036466.001</v>
      </c>
      <c r="C20" s="197">
        <f t="shared" si="0"/>
        <v>1.2801775801604312E-2</v>
      </c>
      <c r="D20" s="255">
        <f>+D74</f>
        <v>214643.06899999999</v>
      </c>
      <c r="E20" s="336">
        <f>+[5]SM!$S27/1000</f>
        <v>543.18680452933734</v>
      </c>
      <c r="F20" s="248">
        <f t="shared" si="1"/>
        <v>215186.25580452933</v>
      </c>
      <c r="G20" s="152">
        <f t="shared" si="2"/>
        <v>1.2668983852053898E-2</v>
      </c>
      <c r="H20" s="62">
        <f>+[4]CS21!$K29</f>
        <v>93118.797999999995</v>
      </c>
      <c r="I20" s="152">
        <f t="shared" si="3"/>
        <v>8.767228234175117E-3</v>
      </c>
      <c r="J20" s="248">
        <f t="shared" si="4"/>
        <v>122067.45780452933</v>
      </c>
      <c r="K20" s="248">
        <f t="shared" si="5"/>
        <v>20.761535409450378</v>
      </c>
      <c r="L20" s="248">
        <f t="shared" si="6"/>
        <v>8.9842597740936405</v>
      </c>
      <c r="M20" s="248">
        <f t="shared" si="7"/>
        <v>11.777275635356737</v>
      </c>
      <c r="N20" s="340">
        <f t="shared" si="8"/>
        <v>2.3108787959712425</v>
      </c>
    </row>
    <row r="21" spans="1:14" x14ac:dyDescent="0.2">
      <c r="A21" s="283" t="s">
        <v>354</v>
      </c>
      <c r="B21" s="255">
        <f>+B110</f>
        <v>119.383</v>
      </c>
      <c r="C21" s="197">
        <f t="shared" si="0"/>
        <v>1.4745436888893449E-6</v>
      </c>
      <c r="D21" s="255">
        <f>+D110</f>
        <v>76.849000000000004</v>
      </c>
      <c r="E21" s="465">
        <f>+[5]SM!$P$28</f>
        <v>0</v>
      </c>
      <c r="F21" s="255">
        <f t="shared" si="1"/>
        <v>76.849000000000004</v>
      </c>
      <c r="G21" s="197">
        <f t="shared" si="2"/>
        <v>4.5244466771655095E-6</v>
      </c>
      <c r="H21" s="224">
        <f>+H110</f>
        <v>107.51544160007887</v>
      </c>
      <c r="I21" s="197">
        <f t="shared" si="3"/>
        <v>1.0122686669624081E-5</v>
      </c>
      <c r="J21" s="255">
        <f t="shared" si="4"/>
        <v>-30.666441600078869</v>
      </c>
      <c r="K21" s="255">
        <f t="shared" si="5"/>
        <v>64.371811731988643</v>
      </c>
      <c r="L21" s="255">
        <f t="shared" si="6"/>
        <v>90.059256008040407</v>
      </c>
      <c r="M21" s="255">
        <f t="shared" si="7"/>
        <v>-25.687444276051757</v>
      </c>
      <c r="N21" s="340">
        <f t="shared" si="8"/>
        <v>0.71477174679570521</v>
      </c>
    </row>
    <row r="22" spans="1:14" ht="15.75" thickBot="1" x14ac:dyDescent="0.25">
      <c r="A22" s="434"/>
      <c r="B22" s="335"/>
      <c r="C22" s="314"/>
      <c r="D22" s="335"/>
      <c r="E22" s="435"/>
      <c r="F22" s="335"/>
      <c r="G22" s="314"/>
      <c r="H22" s="436"/>
      <c r="I22" s="314"/>
      <c r="J22" s="335"/>
      <c r="K22" s="335"/>
      <c r="L22" s="335"/>
      <c r="M22" s="335"/>
      <c r="N22" s="335"/>
    </row>
    <row r="23" spans="1:14" ht="16.5" thickTop="1" x14ac:dyDescent="0.25">
      <c r="A23" s="73" t="s">
        <v>353</v>
      </c>
      <c r="B23" s="247">
        <f>SUM(B13:B21)</f>
        <v>80962674.012000009</v>
      </c>
      <c r="C23" s="341">
        <f>SUM(C13:C20)</f>
        <v>0.99999852545631107</v>
      </c>
      <c r="D23" s="247">
        <f t="shared" ref="D23:J23" si="9">SUM(D13:D21)</f>
        <v>16929031.637999997</v>
      </c>
      <c r="E23" s="342">
        <f t="shared" si="9"/>
        <v>56249.764000000003</v>
      </c>
      <c r="F23" s="247">
        <f t="shared" si="9"/>
        <v>16985281.401999995</v>
      </c>
      <c r="G23" s="343">
        <f t="shared" si="9"/>
        <v>1.0000000000000002</v>
      </c>
      <c r="H23" s="344">
        <f t="shared" si="9"/>
        <v>10621235.755790869</v>
      </c>
      <c r="I23" s="341">
        <f t="shared" si="9"/>
        <v>0.99999999999999978</v>
      </c>
      <c r="J23" s="247">
        <f t="shared" si="9"/>
        <v>6364045.6462091329</v>
      </c>
      <c r="K23" s="247">
        <f t="shared" si="5"/>
        <v>20.979150712688288</v>
      </c>
      <c r="L23" s="247">
        <f t="shared" si="6"/>
        <v>13.118682016624877</v>
      </c>
      <c r="M23" s="247">
        <f t="shared" si="7"/>
        <v>7.8604686960634176</v>
      </c>
      <c r="N23" s="345">
        <f t="shared" si="8"/>
        <v>1.599181281023665</v>
      </c>
    </row>
    <row r="24" spans="1:14" x14ac:dyDescent="0.2">
      <c r="A24" s="323" t="s">
        <v>393</v>
      </c>
      <c r="B24" s="337">
        <f>+'[3]PRC RPW'!$G$59-B23</f>
        <v>0</v>
      </c>
      <c r="C24" s="338"/>
      <c r="D24" s="338"/>
      <c r="E24" s="338"/>
      <c r="F24" s="337">
        <f>+'[3]PRC RPW'!$B$59-F23</f>
        <v>0</v>
      </c>
      <c r="G24" s="338"/>
      <c r="H24" s="337">
        <f>+[4]CS21!$K$30+'[1]ACR2013 MD IB Intl NSAs'!$AB$68-H23</f>
        <v>0</v>
      </c>
      <c r="N24" s="83"/>
    </row>
    <row r="25" spans="1:14" x14ac:dyDescent="0.2">
      <c r="A25" s="323"/>
      <c r="B25" s="339"/>
      <c r="C25" s="338"/>
      <c r="D25" s="338"/>
      <c r="E25" s="338"/>
      <c r="F25" s="339"/>
      <c r="G25" s="338"/>
      <c r="H25" s="339"/>
      <c r="N25" s="83"/>
    </row>
    <row r="26" spans="1:14" x14ac:dyDescent="0.2">
      <c r="A26" s="338"/>
      <c r="B26" s="339"/>
      <c r="C26" s="338"/>
      <c r="D26" s="338"/>
      <c r="E26" s="338"/>
      <c r="F26" s="339"/>
      <c r="G26" s="338"/>
      <c r="H26" s="339"/>
      <c r="N26" s="83"/>
    </row>
    <row r="27" spans="1:14" ht="15.75" x14ac:dyDescent="0.25">
      <c r="A27" s="60" t="s">
        <v>336</v>
      </c>
      <c r="N27" s="83"/>
    </row>
    <row r="28" spans="1:14" ht="15.75" x14ac:dyDescent="0.25">
      <c r="A28" s="73" t="s">
        <v>325</v>
      </c>
      <c r="N28" s="83"/>
    </row>
    <row r="29" spans="1:14" ht="15.75" x14ac:dyDescent="0.25">
      <c r="A29" s="28" t="s">
        <v>326</v>
      </c>
      <c r="N29" s="83"/>
    </row>
    <row r="30" spans="1:14" x14ac:dyDescent="0.2">
      <c r="A30" s="41" t="s">
        <v>132</v>
      </c>
      <c r="B30" s="255">
        <f>+'[3]Summary Category RPW Data'!$F$55/1000</f>
        <v>2543976.1030000001</v>
      </c>
      <c r="C30" s="245">
        <f>B30/B$113</f>
        <v>3.1421591913119627E-2</v>
      </c>
      <c r="D30" s="255">
        <f>+'[3]Summary Category RPW Data'!$D$55/1000</f>
        <v>403107.85399999999</v>
      </c>
      <c r="E30" s="81"/>
      <c r="F30" s="81">
        <f>D30+E30</f>
        <v>403107.85399999999</v>
      </c>
      <c r="G30" s="89">
        <f>F30/F$113</f>
        <v>2.3927768787473228E-2</v>
      </c>
      <c r="H30" s="81"/>
      <c r="I30" s="89"/>
      <c r="J30" s="81"/>
      <c r="K30" s="81"/>
      <c r="L30" s="81"/>
      <c r="M30" s="81"/>
      <c r="N30" s="82"/>
    </row>
    <row r="31" spans="1:14" x14ac:dyDescent="0.2">
      <c r="A31" s="162" t="s">
        <v>311</v>
      </c>
      <c r="B31" s="255">
        <f>+'[3]Summary Category RPW Data'!$F$57/1000</f>
        <v>2286287.2390000001</v>
      </c>
      <c r="C31" s="245">
        <f>B31/B$113</f>
        <v>2.8238781227274367E-2</v>
      </c>
      <c r="D31" s="255">
        <f>+'[3]Summary Category RPW Data'!$D$57/1000</f>
        <v>336065.52</v>
      </c>
      <c r="E31" s="81"/>
      <c r="F31" s="81">
        <f>D31+E31</f>
        <v>336065.52</v>
      </c>
      <c r="G31" s="89">
        <f>F31/F$113</f>
        <v>1.9948254493701731E-2</v>
      </c>
      <c r="H31" s="81"/>
      <c r="I31" s="89"/>
      <c r="J31" s="81"/>
      <c r="K31" s="81"/>
      <c r="L31" s="81"/>
      <c r="M31" s="81"/>
      <c r="N31" s="82"/>
    </row>
    <row r="32" spans="1:14" ht="15.75" x14ac:dyDescent="0.25">
      <c r="A32" s="27" t="s">
        <v>133</v>
      </c>
      <c r="B32" s="256">
        <f>SUM(B30:B31)</f>
        <v>4830263.3420000002</v>
      </c>
      <c r="C32" s="186">
        <f>B32/B$113</f>
        <v>5.9660373140393991E-2</v>
      </c>
      <c r="D32" s="256">
        <f>SUM(D30:D31)</f>
        <v>739173.37400000007</v>
      </c>
      <c r="E32" s="59"/>
      <c r="F32" s="59">
        <f>SUM(F30:F31)</f>
        <v>739173.37400000007</v>
      </c>
      <c r="G32" s="92">
        <f>F32/F$113</f>
        <v>4.3876023281174958E-2</v>
      </c>
      <c r="H32" s="59"/>
      <c r="I32" s="92"/>
      <c r="J32" s="59"/>
      <c r="K32" s="59"/>
      <c r="L32" s="59"/>
      <c r="M32" s="59"/>
      <c r="N32" s="96"/>
    </row>
    <row r="33" spans="1:14" ht="15.75" x14ac:dyDescent="0.25">
      <c r="A33" s="28" t="s">
        <v>134</v>
      </c>
      <c r="B33" s="255"/>
      <c r="C33" s="124"/>
      <c r="D33" s="255"/>
      <c r="H33" s="81"/>
      <c r="N33" s="83"/>
    </row>
    <row r="34" spans="1:14" x14ac:dyDescent="0.2">
      <c r="A34" s="41" t="s">
        <v>132</v>
      </c>
      <c r="B34" s="255">
        <f>+'[3]Summary Category RPW Data'!$F$59/1000</f>
        <v>196729.21</v>
      </c>
      <c r="C34" s="245">
        <f>B34/B$113</f>
        <v>2.4298754012354071E-3</v>
      </c>
      <c r="D34" s="255">
        <f>+'[3]Summary Category RPW Data'!$D$59/1000</f>
        <v>16451.080000000002</v>
      </c>
      <c r="E34" s="81"/>
      <c r="F34" s="81">
        <f>D34+E34</f>
        <v>16451.080000000002</v>
      </c>
      <c r="G34" s="89">
        <f>F34/F$113</f>
        <v>9.765069934465359E-4</v>
      </c>
      <c r="H34" s="81"/>
      <c r="I34" s="89"/>
      <c r="J34" s="81"/>
      <c r="K34" s="81"/>
      <c r="L34" s="81"/>
      <c r="M34" s="81"/>
      <c r="N34" s="82"/>
    </row>
    <row r="35" spans="1:14" x14ac:dyDescent="0.2">
      <c r="A35" s="162" t="s">
        <v>311</v>
      </c>
      <c r="B35" s="255">
        <f>+'[3]Summary Category RPW Data'!$F$61/1000</f>
        <v>684641.96100000001</v>
      </c>
      <c r="C35" s="245">
        <f>B35/B$113</f>
        <v>8.4562666605913321E-3</v>
      </c>
      <c r="D35" s="255">
        <f>+'[3]Summary Category RPW Data'!$D$61/1000</f>
        <v>49564.99</v>
      </c>
      <c r="E35" s="81"/>
      <c r="F35" s="81">
        <f>D35+E35</f>
        <v>49564.99</v>
      </c>
      <c r="G35" s="89">
        <f>F35/F$113</f>
        <v>2.9420900855814699E-3</v>
      </c>
      <c r="H35" s="81"/>
      <c r="I35" s="89"/>
      <c r="J35" s="81"/>
      <c r="K35" s="81"/>
      <c r="L35" s="81"/>
      <c r="M35" s="81"/>
      <c r="N35" s="82"/>
    </row>
    <row r="36" spans="1:14" ht="15" customHeight="1" thickBot="1" x14ac:dyDescent="0.3">
      <c r="A36" s="280" t="s">
        <v>135</v>
      </c>
      <c r="B36" s="294">
        <f>SUM(B34:B35)</f>
        <v>881371.17099999997</v>
      </c>
      <c r="C36" s="286">
        <f>B36/B$113</f>
        <v>1.088614206182674E-2</v>
      </c>
      <c r="D36" s="294">
        <f>SUM(D34:D35)</f>
        <v>66016.070000000007</v>
      </c>
      <c r="E36" s="281"/>
      <c r="F36" s="281">
        <f>SUM(F34:F35)</f>
        <v>66016.070000000007</v>
      </c>
      <c r="G36" s="286">
        <f>F36/F$113</f>
        <v>3.9185970790280066E-3</v>
      </c>
      <c r="H36" s="281"/>
      <c r="I36" s="286"/>
      <c r="J36" s="281"/>
      <c r="K36" s="281"/>
      <c r="L36" s="281"/>
      <c r="M36" s="281"/>
      <c r="N36" s="301"/>
    </row>
    <row r="37" spans="1:14" ht="16.5" thickTop="1" x14ac:dyDescent="0.25">
      <c r="A37" s="288" t="s">
        <v>136</v>
      </c>
      <c r="B37" s="295">
        <f>B32+B36</f>
        <v>5711634.5130000003</v>
      </c>
      <c r="C37" s="290">
        <f>B37/B$113</f>
        <v>7.054651520222073E-2</v>
      </c>
      <c r="D37" s="299">
        <f>D32+D36</f>
        <v>805189.44400000013</v>
      </c>
      <c r="E37" s="289"/>
      <c r="F37" s="289">
        <f>F32+F36</f>
        <v>805189.44400000013</v>
      </c>
      <c r="G37" s="292">
        <f>F37/F$113</f>
        <v>4.7794620360202975E-2</v>
      </c>
      <c r="H37" s="289">
        <f>+[7]CS21!$K$22</f>
        <v>341410.95649228763</v>
      </c>
      <c r="I37" s="292">
        <f>H37/H$113</f>
        <v>3.2144509393576493E-2</v>
      </c>
      <c r="J37" s="289">
        <f>+D37-H37</f>
        <v>463778.4875077125</v>
      </c>
      <c r="K37" s="289">
        <f>D37/B37*100</f>
        <v>14.097355882407109</v>
      </c>
      <c r="L37" s="289">
        <f>H37/B37*100</f>
        <v>5.9774650446420754</v>
      </c>
      <c r="M37" s="289">
        <f>J37/B37*100</f>
        <v>8.1198908377650323</v>
      </c>
      <c r="N37" s="300">
        <f>D37/H37</f>
        <v>2.3584171178120616</v>
      </c>
    </row>
    <row r="38" spans="1:14" ht="15.75" x14ac:dyDescent="0.25">
      <c r="A38" s="60" t="s">
        <v>137</v>
      </c>
      <c r="B38" s="255"/>
      <c r="C38" s="124"/>
      <c r="D38" s="255"/>
      <c r="H38" s="81"/>
      <c r="N38" s="83"/>
    </row>
    <row r="39" spans="1:14" x14ac:dyDescent="0.2">
      <c r="A39" s="41" t="s">
        <v>138</v>
      </c>
      <c r="B39" s="255">
        <f>+'[3]Summary Category RPW Data'!$F$65/1000</f>
        <v>1700176.969</v>
      </c>
      <c r="C39" s="245">
        <f t="shared" ref="C39:C45" si="10">B39/B$113</f>
        <v>2.0999516008426374E-2</v>
      </c>
      <c r="D39" s="255">
        <f>+'[3]Summary Category RPW Data'!$D$65/1000</f>
        <v>351186.97600000002</v>
      </c>
      <c r="E39" s="81"/>
      <c r="F39" s="81">
        <f>D39+E39</f>
        <v>351186.97600000002</v>
      </c>
      <c r="G39" s="89">
        <f t="shared" ref="G39:G45" si="11">F39/F$113</f>
        <v>2.0845837359695578E-2</v>
      </c>
      <c r="H39" s="81"/>
      <c r="I39" s="89"/>
      <c r="J39" s="81"/>
      <c r="K39" s="81"/>
      <c r="L39" s="81"/>
      <c r="M39" s="81"/>
      <c r="N39" s="82"/>
    </row>
    <row r="40" spans="1:14" x14ac:dyDescent="0.2">
      <c r="A40" s="283" t="s">
        <v>312</v>
      </c>
      <c r="B40" s="255">
        <f>+'[3]Summary Category RPW Data'!$F$67/1000</f>
        <v>9022056.5370000005</v>
      </c>
      <c r="C40" s="245">
        <f t="shared" si="10"/>
        <v>0.11143476481103851</v>
      </c>
      <c r="D40" s="255">
        <f>+'[3]Summary Category RPW Data'!$D$67/1000</f>
        <v>1522792.8629999999</v>
      </c>
      <c r="E40" s="81"/>
      <c r="F40" s="81">
        <f>D40+E40</f>
        <v>1522792.8629999999</v>
      </c>
      <c r="G40" s="89">
        <f t="shared" si="11"/>
        <v>9.039028928738857E-2</v>
      </c>
      <c r="H40" s="81"/>
      <c r="I40" s="89"/>
      <c r="J40" s="81"/>
      <c r="K40" s="81"/>
      <c r="L40" s="81"/>
      <c r="M40" s="81"/>
      <c r="N40" s="82"/>
    </row>
    <row r="41" spans="1:14" ht="15.75" x14ac:dyDescent="0.25">
      <c r="A41" s="95" t="s">
        <v>139</v>
      </c>
      <c r="B41" s="256">
        <f>SUM(B39:B40)</f>
        <v>10722233.506000001</v>
      </c>
      <c r="C41" s="186">
        <f t="shared" si="10"/>
        <v>0.13243428081946487</v>
      </c>
      <c r="D41" s="256">
        <f>SUM(D39:D40)</f>
        <v>1873979.8389999999</v>
      </c>
      <c r="E41" s="59"/>
      <c r="F41" s="59">
        <f>SUM(F39:F40)</f>
        <v>1873979.8389999999</v>
      </c>
      <c r="G41" s="92">
        <f t="shared" si="11"/>
        <v>0.11123612664708414</v>
      </c>
      <c r="H41" s="59"/>
      <c r="I41" s="92"/>
      <c r="J41" s="59"/>
      <c r="K41" s="59"/>
      <c r="L41" s="59"/>
      <c r="M41" s="59"/>
      <c r="N41" s="96"/>
    </row>
    <row r="42" spans="1:14" x14ac:dyDescent="0.2">
      <c r="A42" s="88" t="s">
        <v>140</v>
      </c>
      <c r="B42" s="255">
        <f>+'[3]Summary Category RPW Data'!$F$76/1000</f>
        <v>19.809999999999999</v>
      </c>
      <c r="C42" s="245">
        <f t="shared" si="10"/>
        <v>2.4468065366842788E-7</v>
      </c>
      <c r="D42" s="255">
        <f>+'[3]Summary Category RPW Data'!$D$76/1000</f>
        <v>6.9729999999999999</v>
      </c>
      <c r="E42" s="81"/>
      <c r="F42" s="81">
        <f>D42+E42</f>
        <v>6.9729999999999999</v>
      </c>
      <c r="G42" s="89">
        <f t="shared" si="11"/>
        <v>4.139049390862298E-7</v>
      </c>
      <c r="H42" s="81"/>
      <c r="I42" s="89"/>
      <c r="J42" s="81"/>
      <c r="K42" s="81"/>
      <c r="L42" s="81"/>
      <c r="M42" s="81"/>
      <c r="N42" s="82"/>
    </row>
    <row r="43" spans="1:14" x14ac:dyDescent="0.2">
      <c r="A43" s="283" t="s">
        <v>313</v>
      </c>
      <c r="B43" s="255">
        <f>+'[3]Summary Category RPW Data'!$F$78/1000</f>
        <v>259.803</v>
      </c>
      <c r="C43" s="245">
        <f t="shared" si="10"/>
        <v>3.2089231633023003E-6</v>
      </c>
      <c r="D43" s="255">
        <f>+'[3]Summary Category RPW Data'!$D$78/1000</f>
        <v>114.259</v>
      </c>
      <c r="E43" s="81"/>
      <c r="F43" s="81">
        <f>D43+E43</f>
        <v>114.259</v>
      </c>
      <c r="G43" s="89">
        <f t="shared" si="11"/>
        <v>6.7822120228099149E-6</v>
      </c>
      <c r="H43" s="81"/>
      <c r="I43" s="89"/>
      <c r="J43" s="81"/>
      <c r="K43" s="81"/>
      <c r="L43" s="81"/>
      <c r="M43" s="81"/>
      <c r="N43" s="82"/>
    </row>
    <row r="44" spans="1:14" ht="15.75" x14ac:dyDescent="0.25">
      <c r="A44" s="88" t="s">
        <v>141</v>
      </c>
      <c r="B44" s="256">
        <f>SUM(B42:B43)</f>
        <v>279.613</v>
      </c>
      <c r="C44" s="186">
        <f t="shared" si="10"/>
        <v>3.4536038169707278E-6</v>
      </c>
      <c r="D44" s="256">
        <f>SUM(D42:D43)</f>
        <v>121.232</v>
      </c>
      <c r="E44" s="59"/>
      <c r="F44" s="59">
        <f>SUM(F42:F43)</f>
        <v>121.232</v>
      </c>
      <c r="G44" s="92">
        <f t="shared" si="11"/>
        <v>7.1961169618961444E-6</v>
      </c>
      <c r="H44" s="59"/>
      <c r="I44" s="92"/>
      <c r="J44" s="59"/>
      <c r="K44" s="59"/>
      <c r="L44" s="59"/>
      <c r="M44" s="59"/>
      <c r="N44" s="96"/>
    </row>
    <row r="45" spans="1:14" ht="15.75" x14ac:dyDescent="0.25">
      <c r="A45" s="284" t="s">
        <v>142</v>
      </c>
      <c r="B45" s="256">
        <f>B41+B44</f>
        <v>10722513.119000001</v>
      </c>
      <c r="C45" s="186">
        <f t="shared" si="10"/>
        <v>0.13243773442328186</v>
      </c>
      <c r="D45" s="256">
        <f>D41+D44</f>
        <v>1874101.071</v>
      </c>
      <c r="E45" s="59"/>
      <c r="F45" s="59">
        <f>F41+F44</f>
        <v>1874101.071</v>
      </c>
      <c r="G45" s="92">
        <f t="shared" si="11"/>
        <v>0.11124332276404604</v>
      </c>
      <c r="H45" s="59"/>
      <c r="I45" s="92"/>
      <c r="J45" s="59"/>
      <c r="K45" s="59"/>
      <c r="L45" s="59"/>
      <c r="M45" s="59"/>
      <c r="N45" s="96"/>
    </row>
    <row r="46" spans="1:14" ht="15.75" x14ac:dyDescent="0.25">
      <c r="A46" s="91" t="s">
        <v>143</v>
      </c>
      <c r="B46" s="255"/>
      <c r="C46" s="84"/>
      <c r="D46" s="255"/>
      <c r="E46" s="81"/>
      <c r="F46" s="81"/>
      <c r="G46" s="81"/>
      <c r="H46" s="81"/>
      <c r="I46" s="81"/>
      <c r="N46" s="83"/>
    </row>
    <row r="47" spans="1:14" x14ac:dyDescent="0.2">
      <c r="A47" s="88" t="s">
        <v>138</v>
      </c>
      <c r="B47" s="255">
        <f>+'[3]Summary Category RPW Data'!$F$69/1000</f>
        <v>153498.22700000001</v>
      </c>
      <c r="C47" s="245">
        <f t="shared" ref="C47:C54" si="12">B47/B$113</f>
        <v>1.8959135042556652E-3</v>
      </c>
      <c r="D47" s="255">
        <f>+'[3]Summary Category RPW Data'!$D$69/1000</f>
        <v>16870.124</v>
      </c>
      <c r="E47" s="81"/>
      <c r="F47" s="81">
        <f>D47+E47</f>
        <v>16870.124</v>
      </c>
      <c r="G47" s="89">
        <f t="shared" ref="G47:G54" si="13">F47/F$113</f>
        <v>1.001380703656553E-3</v>
      </c>
      <c r="H47" s="81"/>
      <c r="I47" s="89"/>
      <c r="J47" s="81"/>
      <c r="K47" s="81"/>
      <c r="L47" s="81"/>
      <c r="M47" s="81"/>
      <c r="N47" s="82"/>
    </row>
    <row r="48" spans="1:14" x14ac:dyDescent="0.2">
      <c r="A48" s="283" t="s">
        <v>312</v>
      </c>
      <c r="B48" s="255">
        <f>+'[3]Summary Category RPW Data'!$F$72/1000</f>
        <v>461782.245</v>
      </c>
      <c r="C48" s="245">
        <f t="shared" si="12"/>
        <v>5.7036436930375618E-3</v>
      </c>
      <c r="D48" s="255">
        <f>+'[3]Summary Category RPW Data'!$D$72/1000</f>
        <v>38878.177000000003</v>
      </c>
      <c r="E48" s="81"/>
      <c r="F48" s="81">
        <f>D48+E48</f>
        <v>38878.177000000003</v>
      </c>
      <c r="G48" s="89">
        <f t="shared" si="13"/>
        <v>2.3077397795738795E-3</v>
      </c>
      <c r="H48" s="81"/>
      <c r="I48" s="89"/>
      <c r="J48" s="81"/>
      <c r="K48" s="81"/>
      <c r="L48" s="81"/>
      <c r="M48" s="81"/>
      <c r="N48" s="82"/>
    </row>
    <row r="49" spans="1:17" ht="15.75" x14ac:dyDescent="0.25">
      <c r="A49" s="95" t="s">
        <v>144</v>
      </c>
      <c r="B49" s="256">
        <f>SUM(B47:B48)</f>
        <v>615280.47200000007</v>
      </c>
      <c r="C49" s="186">
        <f t="shared" si="12"/>
        <v>7.5995571972932285E-3</v>
      </c>
      <c r="D49" s="256">
        <f>SUM(D47:D48)</f>
        <v>55748.301000000007</v>
      </c>
      <c r="E49" s="59"/>
      <c r="F49" s="59">
        <f>SUM(F47:F48)</f>
        <v>55748.301000000007</v>
      </c>
      <c r="G49" s="92">
        <f t="shared" si="13"/>
        <v>3.3091204832304327E-3</v>
      </c>
      <c r="H49" s="59"/>
      <c r="I49" s="92"/>
      <c r="J49" s="59"/>
      <c r="K49" s="59"/>
      <c r="L49" s="59"/>
      <c r="M49" s="59"/>
      <c r="N49" s="96"/>
    </row>
    <row r="50" spans="1:17" x14ac:dyDescent="0.2">
      <c r="A50" s="88" t="s">
        <v>140</v>
      </c>
      <c r="B50" s="255">
        <f>+'[3]Summary Category RPW Data'!$E$78/1000</f>
        <v>0.65100000000000002</v>
      </c>
      <c r="C50" s="245">
        <f t="shared" si="12"/>
        <v>8.0407423290331424E-9</v>
      </c>
      <c r="D50" s="255">
        <f>+'[3]Summary Category RPW Data'!$C$78/1000</f>
        <v>0.14399999999999999</v>
      </c>
      <c r="E50" s="81"/>
      <c r="F50" s="81">
        <f>D50+E50</f>
        <v>0.14399999999999999</v>
      </c>
      <c r="G50" s="89">
        <f t="shared" si="13"/>
        <v>8.5475851467685486E-9</v>
      </c>
      <c r="H50" s="81"/>
      <c r="I50" s="89"/>
      <c r="J50" s="81"/>
      <c r="K50" s="81"/>
      <c r="L50" s="81"/>
      <c r="M50" s="81"/>
      <c r="N50" s="82"/>
    </row>
    <row r="51" spans="1:17" x14ac:dyDescent="0.2">
      <c r="A51" s="283" t="s">
        <v>313</v>
      </c>
      <c r="B51" s="255">
        <f>+'[3]Summary Category RPW Data'!$E$79+'[3]Summary Category RPW Data'!$E$80</f>
        <v>0</v>
      </c>
      <c r="C51" s="245">
        <f t="shared" si="12"/>
        <v>0</v>
      </c>
      <c r="D51" s="255">
        <f>+'[3]Summary Category RPW Data'!$C$79+'[3]Summary Category RPW Data'!$C$80</f>
        <v>0</v>
      </c>
      <c r="E51" s="81"/>
      <c r="F51" s="81">
        <f>D51+E51</f>
        <v>0</v>
      </c>
      <c r="G51" s="89">
        <f t="shared" si="13"/>
        <v>0</v>
      </c>
      <c r="H51" s="81"/>
      <c r="I51" s="89"/>
      <c r="J51" s="81"/>
      <c r="K51" s="81"/>
      <c r="L51" s="81"/>
      <c r="M51" s="81"/>
      <c r="N51" s="82"/>
    </row>
    <row r="52" spans="1:17" ht="15.75" x14ac:dyDescent="0.25">
      <c r="A52" s="95" t="s">
        <v>145</v>
      </c>
      <c r="B52" s="256">
        <f>SUM(B50:B51)</f>
        <v>0.65100000000000002</v>
      </c>
      <c r="C52" s="186">
        <f t="shared" si="12"/>
        <v>8.0407423290331424E-9</v>
      </c>
      <c r="D52" s="256">
        <f>SUM(D50:D51)</f>
        <v>0.14399999999999999</v>
      </c>
      <c r="E52" s="59"/>
      <c r="F52" s="59">
        <f>SUM(F50:F51)</f>
        <v>0.14399999999999999</v>
      </c>
      <c r="G52" s="92">
        <f t="shared" si="13"/>
        <v>8.5475851467685486E-9</v>
      </c>
      <c r="H52" s="59"/>
      <c r="I52" s="92"/>
      <c r="J52" s="59"/>
      <c r="K52" s="59"/>
      <c r="L52" s="59"/>
      <c r="M52" s="59"/>
      <c r="N52" s="96"/>
    </row>
    <row r="53" spans="1:17" ht="16.5" thickBot="1" x14ac:dyDescent="0.3">
      <c r="A53" s="282" t="s">
        <v>146</v>
      </c>
      <c r="B53" s="294">
        <f>B49+B52</f>
        <v>615281.12300000002</v>
      </c>
      <c r="C53" s="286">
        <f t="shared" si="12"/>
        <v>7.5995652380355565E-3</v>
      </c>
      <c r="D53" s="294">
        <f>D49+D52</f>
        <v>55748.445000000007</v>
      </c>
      <c r="E53" s="282"/>
      <c r="F53" s="282">
        <f>F49+F52</f>
        <v>55748.445000000007</v>
      </c>
      <c r="G53" s="286">
        <f t="shared" si="13"/>
        <v>3.3091290308155798E-3</v>
      </c>
      <c r="H53" s="282"/>
      <c r="I53" s="282"/>
      <c r="J53" s="282"/>
      <c r="K53" s="282"/>
      <c r="L53" s="282"/>
      <c r="M53" s="282"/>
      <c r="N53" s="282"/>
    </row>
    <row r="54" spans="1:17" ht="16.5" thickTop="1" x14ac:dyDescent="0.25">
      <c r="A54" s="288" t="s">
        <v>147</v>
      </c>
      <c r="B54" s="295">
        <f>B45+B53</f>
        <v>11337794.242000001</v>
      </c>
      <c r="C54" s="290">
        <f t="shared" si="12"/>
        <v>0.14003729966131739</v>
      </c>
      <c r="D54" s="299">
        <f>D45+D53</f>
        <v>1929849.5160000001</v>
      </c>
      <c r="E54" s="288"/>
      <c r="F54" s="289">
        <f>F45+F53</f>
        <v>1929849.5160000001</v>
      </c>
      <c r="G54" s="292">
        <f t="shared" si="13"/>
        <v>0.11455245179486163</v>
      </c>
      <c r="H54" s="289">
        <f>+[7]CS21!$K$23</f>
        <v>842701.13789624779</v>
      </c>
      <c r="I54" s="300">
        <f t="shared" ref="I54" si="14">H54/H$113</f>
        <v>7.9341960555080929E-2</v>
      </c>
      <c r="J54" s="289">
        <f>D54-H54</f>
        <v>1087148.3781037522</v>
      </c>
      <c r="K54" s="289">
        <f t="shared" ref="K54" si="15">D54/B54*100</f>
        <v>17.021384184685754</v>
      </c>
      <c r="L54" s="289">
        <f t="shared" ref="L54" si="16">H54/B54*100</f>
        <v>7.4326727043124956</v>
      </c>
      <c r="M54" s="289">
        <f t="shared" ref="M54" si="17">J54/B54*100</f>
        <v>9.5887114803732576</v>
      </c>
      <c r="N54" s="300">
        <f t="shared" ref="N54" si="18">D54/H54</f>
        <v>2.290075839719111</v>
      </c>
    </row>
    <row r="55" spans="1:17" ht="15.75" x14ac:dyDescent="0.25">
      <c r="A55" s="28" t="s">
        <v>148</v>
      </c>
      <c r="B55" s="255"/>
      <c r="C55" s="124"/>
      <c r="D55" s="255"/>
      <c r="H55" s="81"/>
      <c r="N55" s="83"/>
    </row>
    <row r="56" spans="1:17" x14ac:dyDescent="0.2">
      <c r="A56" s="41" t="s">
        <v>149</v>
      </c>
      <c r="B56" s="255">
        <f>+'[3]Summary Category RPW Data'!$E$83/1000</f>
        <v>66522.91</v>
      </c>
      <c r="C56" s="245">
        <f>B56/B$113</f>
        <v>8.2164912179333663E-4</v>
      </c>
      <c r="D56" s="255">
        <f>+'[3]Summary Category RPW Data'!$C$83/1000</f>
        <v>14045.147000000001</v>
      </c>
      <c r="E56" s="81"/>
      <c r="F56" s="81">
        <f>D56+E56</f>
        <v>14045.147000000001</v>
      </c>
      <c r="G56" s="89">
        <f>F56/F$113</f>
        <v>8.3369506862070045E-4</v>
      </c>
      <c r="H56" s="81"/>
      <c r="I56" s="89"/>
      <c r="J56" s="81"/>
      <c r="K56" s="81"/>
      <c r="L56" s="81"/>
      <c r="M56" s="81"/>
      <c r="N56" s="82"/>
      <c r="O56" s="81"/>
      <c r="P56" s="81"/>
      <c r="Q56" s="81"/>
    </row>
    <row r="57" spans="1:17" x14ac:dyDescent="0.2">
      <c r="A57" s="88" t="s">
        <v>150</v>
      </c>
      <c r="B57" s="255">
        <f>+'[3]Summary Category RPW Data'!$E$85/1000</f>
        <v>8573710.6909999996</v>
      </c>
      <c r="C57" s="245">
        <f>B57/B$113</f>
        <v>0.10589707906299184</v>
      </c>
      <c r="D57" s="255">
        <f>+'[3]Summary Category RPW Data'!$C$85/1000</f>
        <v>2216260.8930000002</v>
      </c>
      <c r="E57" s="81"/>
      <c r="F57" s="81">
        <f>D57+E57</f>
        <v>2216260.8930000002</v>
      </c>
      <c r="G57" s="89">
        <f>F57/F$113</f>
        <v>0.13155332423868613</v>
      </c>
      <c r="H57" s="81"/>
      <c r="I57" s="89"/>
      <c r="J57" s="81"/>
      <c r="K57" s="81"/>
      <c r="L57" s="81"/>
      <c r="M57" s="81"/>
      <c r="N57" s="82"/>
      <c r="O57" s="81"/>
    </row>
    <row r="58" spans="1:17" x14ac:dyDescent="0.2">
      <c r="A58" s="88" t="s">
        <v>151</v>
      </c>
      <c r="B58" s="255">
        <f>+'[3]Summary Category RPW Data'!$E$87/1000+'[3]Summary Category RPW Data'!$E$89/1000</f>
        <v>410.93400000000003</v>
      </c>
      <c r="C58" s="245">
        <f>B58/B$113</f>
        <v>5.0755981693377965E-6</v>
      </c>
      <c r="D58" s="255">
        <f>+'[3]Summary Category RPW Data'!$C$87/1000+'[3]Summary Category RPW Data'!$C$89/1000</f>
        <v>162.38299999999998</v>
      </c>
      <c r="E58" s="81"/>
      <c r="F58" s="81">
        <f>D58+E58</f>
        <v>162.38299999999998</v>
      </c>
      <c r="G58" s="89">
        <f>F58/F$113</f>
        <v>9.6387674922758144E-6</v>
      </c>
      <c r="H58" s="81"/>
      <c r="I58" s="89"/>
      <c r="J58" s="81"/>
      <c r="K58" s="81"/>
      <c r="L58" s="180"/>
      <c r="M58" s="81"/>
      <c r="N58" s="82"/>
      <c r="O58" s="81"/>
    </row>
    <row r="59" spans="1:17" x14ac:dyDescent="0.2">
      <c r="A59" s="88" t="s">
        <v>285</v>
      </c>
      <c r="B59" s="255">
        <f>B128</f>
        <v>0</v>
      </c>
      <c r="C59" s="245">
        <f>B59/B$113</f>
        <v>0</v>
      </c>
      <c r="D59" s="255">
        <f>D128</f>
        <v>0</v>
      </c>
      <c r="E59" s="81"/>
      <c r="F59" s="81">
        <f>D59+E59</f>
        <v>0</v>
      </c>
      <c r="G59" s="89">
        <f>F59/F$113</f>
        <v>0</v>
      </c>
      <c r="H59" s="81"/>
      <c r="I59" s="89"/>
      <c r="J59" s="81"/>
      <c r="K59" s="81"/>
      <c r="L59" s="81"/>
      <c r="M59" s="81"/>
      <c r="N59" s="82"/>
      <c r="O59" s="81"/>
    </row>
    <row r="60" spans="1:17" ht="15.75" x14ac:dyDescent="0.25">
      <c r="A60" s="95" t="s">
        <v>152</v>
      </c>
      <c r="B60" s="256">
        <f>SUM(B56:B59)</f>
        <v>8640644.5350000001</v>
      </c>
      <c r="C60" s="186">
        <f>B60/B$113</f>
        <v>0.10672380378295451</v>
      </c>
      <c r="D60" s="256">
        <f>SUM(D56:D59)</f>
        <v>2230468.423</v>
      </c>
      <c r="E60" s="59"/>
      <c r="F60" s="59">
        <f>SUM(F56:F59)</f>
        <v>2230468.423</v>
      </c>
      <c r="G60" s="92">
        <f>F60/F$113</f>
        <v>0.13239665807479908</v>
      </c>
      <c r="H60" s="59"/>
      <c r="I60" s="92"/>
      <c r="J60" s="59"/>
      <c r="K60" s="59"/>
      <c r="L60" s="59"/>
      <c r="M60" s="59"/>
      <c r="N60" s="96"/>
    </row>
    <row r="61" spans="1:17" ht="15.75" x14ac:dyDescent="0.25">
      <c r="A61" s="91" t="s">
        <v>153</v>
      </c>
      <c r="B61" s="255"/>
      <c r="C61" s="84"/>
      <c r="D61" s="255"/>
      <c r="E61" s="81"/>
      <c r="F61" s="81"/>
      <c r="G61" s="81"/>
      <c r="H61" s="81"/>
      <c r="I61" s="81"/>
      <c r="N61" s="83"/>
    </row>
    <row r="62" spans="1:17" x14ac:dyDescent="0.2">
      <c r="A62" s="88" t="s">
        <v>149</v>
      </c>
      <c r="B62" s="255">
        <f>+'[3]Summary Category RPW Data'!$E$84/1000</f>
        <v>11054.538</v>
      </c>
      <c r="C62" s="245">
        <f t="shared" ref="C62:C69" si="19">B62/B$113</f>
        <v>1.3653869681183622E-4</v>
      </c>
      <c r="D62" s="255">
        <f>+'[3]Summary Category RPW Data'!$C$84/1000</f>
        <v>1685.6189999999999</v>
      </c>
      <c r="E62" s="81"/>
      <c r="F62" s="81">
        <f>D62+E62</f>
        <v>1685.6189999999999</v>
      </c>
      <c r="G62" s="89">
        <f t="shared" ref="G62:G69" si="20">F62/F$113</f>
        <v>1.0005536060771427E-4</v>
      </c>
      <c r="H62" s="81"/>
      <c r="I62" s="89"/>
      <c r="J62" s="81"/>
      <c r="K62" s="81"/>
      <c r="L62" s="81"/>
      <c r="M62" s="81"/>
      <c r="N62" s="82"/>
    </row>
    <row r="63" spans="1:17" x14ac:dyDescent="0.2">
      <c r="A63" s="88" t="s">
        <v>150</v>
      </c>
      <c r="B63" s="255">
        <f>+'[3]Summary Category RPW Data'!$E$86/1000</f>
        <v>855913.80700000003</v>
      </c>
      <c r="C63" s="245">
        <f t="shared" si="19"/>
        <v>1.0571708721887563E-2</v>
      </c>
      <c r="D63" s="255">
        <f>+'[3]Summary Category RPW Data'!$C$86/1000</f>
        <v>140574.35500000001</v>
      </c>
      <c r="E63" s="81"/>
      <c r="F63" s="81">
        <f>D63+E63</f>
        <v>140574.35500000001</v>
      </c>
      <c r="G63" s="89">
        <f t="shared" si="20"/>
        <v>8.3442449223233971E-3</v>
      </c>
      <c r="H63" s="81"/>
      <c r="I63" s="89"/>
      <c r="J63" s="81"/>
      <c r="K63" s="81"/>
      <c r="L63" s="81"/>
      <c r="M63" s="81"/>
      <c r="N63" s="82"/>
    </row>
    <row r="64" spans="1:17" x14ac:dyDescent="0.2">
      <c r="A64" s="88" t="s">
        <v>151</v>
      </c>
      <c r="B64" s="255">
        <f>+'[3]Summary Category RPW Data'!$E$88/1000</f>
        <v>14.228</v>
      </c>
      <c r="C64" s="245">
        <f t="shared" si="19"/>
        <v>1.7573530239244785E-7</v>
      </c>
      <c r="D64" s="255">
        <f>+'[3]Summary Category RPW Data'!$C$88/1000</f>
        <v>6.8920000000000003</v>
      </c>
      <c r="E64" s="81"/>
      <c r="F64" s="81">
        <f>D64+E64</f>
        <v>6.8920000000000003</v>
      </c>
      <c r="G64" s="89">
        <f t="shared" si="20"/>
        <v>4.0909692244117254E-7</v>
      </c>
      <c r="H64" s="81"/>
      <c r="I64" s="89"/>
      <c r="J64" s="81"/>
      <c r="K64" s="81"/>
      <c r="L64" s="81"/>
      <c r="M64" s="81"/>
      <c r="N64" s="82"/>
    </row>
    <row r="65" spans="1:14" ht="16.5" thickBot="1" x14ac:dyDescent="0.3">
      <c r="A65" s="280" t="s">
        <v>154</v>
      </c>
      <c r="B65" s="294">
        <f>SUM(B62:B64)</f>
        <v>866982.57299999997</v>
      </c>
      <c r="C65" s="286">
        <f t="shared" si="19"/>
        <v>1.070842315400179E-2</v>
      </c>
      <c r="D65" s="294">
        <f>SUM(D62:D64)</f>
        <v>142266.86600000001</v>
      </c>
      <c r="E65" s="281"/>
      <c r="F65" s="281">
        <f>SUM(F62:F64)</f>
        <v>142266.86600000001</v>
      </c>
      <c r="G65" s="286">
        <f t="shared" si="20"/>
        <v>8.444709379853553E-3</v>
      </c>
      <c r="H65" s="281"/>
      <c r="I65" s="286"/>
      <c r="J65" s="281"/>
      <c r="K65" s="281"/>
      <c r="L65" s="281"/>
      <c r="M65" s="281"/>
      <c r="N65" s="301"/>
    </row>
    <row r="66" spans="1:14" ht="16.5" thickTop="1" x14ac:dyDescent="0.25">
      <c r="A66" s="288" t="s">
        <v>155</v>
      </c>
      <c r="B66" s="295">
        <f>B60+B65</f>
        <v>9507627.1080000009</v>
      </c>
      <c r="C66" s="292">
        <f t="shared" si="19"/>
        <v>0.11743222693695632</v>
      </c>
      <c r="D66" s="295">
        <f>D60+D65</f>
        <v>2372735.2889999999</v>
      </c>
      <c r="E66" s="289"/>
      <c r="F66" s="289">
        <f>F60+F65</f>
        <v>2372735.2889999999</v>
      </c>
      <c r="G66" s="292">
        <f t="shared" si="20"/>
        <v>0.14084136745465264</v>
      </c>
      <c r="H66" s="289">
        <f>+[7]CS21!$K$25</f>
        <v>1778661.3116236159</v>
      </c>
      <c r="I66" s="292">
        <f t="shared" ref="I66" si="21">H66/H$113</f>
        <v>0.16746444175926134</v>
      </c>
      <c r="J66" s="289">
        <f>D66-H66</f>
        <v>594073.97737638396</v>
      </c>
      <c r="K66" s="289">
        <f t="shared" ref="K66" si="22">D66/B66*100</f>
        <v>24.956124825336385</v>
      </c>
      <c r="L66" s="289">
        <f t="shared" ref="L66" si="23">H66/B66*100</f>
        <v>18.707731081785877</v>
      </c>
      <c r="M66" s="289">
        <f t="shared" ref="M66" si="24">J66/B66*100</f>
        <v>6.2483937435505057</v>
      </c>
      <c r="N66" s="300">
        <f t="shared" ref="N66" si="25">D66/H66</f>
        <v>1.334000618045768</v>
      </c>
    </row>
    <row r="67" spans="1:14" ht="15.75" x14ac:dyDescent="0.25">
      <c r="A67" s="95" t="s">
        <v>156</v>
      </c>
      <c r="B67" s="256">
        <f>B32+B45+B60</f>
        <v>24193420.995999999</v>
      </c>
      <c r="C67" s="92">
        <f t="shared" si="19"/>
        <v>0.29882191134663033</v>
      </c>
      <c r="D67" s="247">
        <f>D32+D45+D60</f>
        <v>4843742.8680000007</v>
      </c>
      <c r="E67" s="59"/>
      <c r="F67" s="59">
        <f>F32+F45+F60</f>
        <v>4843742.8680000007</v>
      </c>
      <c r="G67" s="92">
        <f t="shared" si="20"/>
        <v>0.28751600412002015</v>
      </c>
      <c r="H67" s="59"/>
      <c r="I67" s="92"/>
      <c r="J67" s="59"/>
      <c r="K67" s="59"/>
      <c r="L67" s="59"/>
      <c r="M67" s="59"/>
      <c r="N67" s="96"/>
    </row>
    <row r="68" spans="1:14" ht="15.75" x14ac:dyDescent="0.25">
      <c r="A68" s="95" t="s">
        <v>157</v>
      </c>
      <c r="B68" s="256">
        <f>B36+B53+B65</f>
        <v>2363634.8670000001</v>
      </c>
      <c r="C68" s="92">
        <f t="shared" si="19"/>
        <v>2.9194130453864087E-2</v>
      </c>
      <c r="D68" s="247">
        <f>D36+D53+D65</f>
        <v>264031.38100000005</v>
      </c>
      <c r="E68" s="59"/>
      <c r="F68" s="59">
        <f>F36+F53+F65</f>
        <v>264031.38100000005</v>
      </c>
      <c r="G68" s="92">
        <f t="shared" si="20"/>
        <v>1.5672435489697139E-2</v>
      </c>
      <c r="H68" s="59"/>
      <c r="I68" s="92"/>
      <c r="J68" s="59"/>
      <c r="K68" s="59"/>
      <c r="L68" s="59"/>
      <c r="M68" s="59"/>
      <c r="N68" s="96"/>
    </row>
    <row r="69" spans="1:14" ht="15.75" x14ac:dyDescent="0.25">
      <c r="A69" s="97" t="s">
        <v>76</v>
      </c>
      <c r="B69" s="256">
        <f>SUM(B67:B68)</f>
        <v>26557055.862999998</v>
      </c>
      <c r="C69" s="186">
        <f t="shared" si="19"/>
        <v>0.32801604180049443</v>
      </c>
      <c r="D69" s="256">
        <f>SUM(D67:D68)</f>
        <v>5107774.2490000008</v>
      </c>
      <c r="E69" s="59"/>
      <c r="F69" s="59">
        <f>SUM(F67:F68)</f>
        <v>5107774.2490000008</v>
      </c>
      <c r="G69" s="92">
        <f t="shared" si="20"/>
        <v>0.30318843960971731</v>
      </c>
      <c r="H69" s="59"/>
      <c r="I69" s="92"/>
      <c r="J69" s="59"/>
      <c r="K69" s="59"/>
      <c r="L69" s="59"/>
      <c r="M69" s="59"/>
      <c r="N69" s="96"/>
    </row>
    <row r="70" spans="1:14" ht="15.75" x14ac:dyDescent="0.25">
      <c r="A70" s="73" t="s">
        <v>158</v>
      </c>
      <c r="B70" s="248"/>
      <c r="D70" s="248"/>
      <c r="H70" s="81"/>
      <c r="N70" s="83"/>
    </row>
    <row r="71" spans="1:14" ht="15.75" x14ac:dyDescent="0.25">
      <c r="A71" s="28" t="s">
        <v>159</v>
      </c>
      <c r="B71" s="255"/>
      <c r="C71" s="124"/>
      <c r="D71" s="255"/>
      <c r="H71" s="81"/>
      <c r="N71" s="83"/>
    </row>
    <row r="72" spans="1:14" x14ac:dyDescent="0.2">
      <c r="A72" s="41" t="s">
        <v>160</v>
      </c>
      <c r="B72" s="255">
        <f>+'[3]Summary Category RPW Data'!$E$90/1000</f>
        <v>761278.57499999995</v>
      </c>
      <c r="C72" s="245">
        <f>B72/B$113</f>
        <v>9.4028338896905237E-3</v>
      </c>
      <c r="D72" s="255">
        <f>+'[3]Summary Category RPW Data'!$C$90/1000</f>
        <v>205564.647</v>
      </c>
      <c r="E72" s="81"/>
      <c r="F72" s="81">
        <f>D72+E72</f>
        <v>205564.647</v>
      </c>
      <c r="G72" s="89">
        <f>F72/F$113</f>
        <v>1.2201953634707777E-2</v>
      </c>
      <c r="H72" s="81"/>
      <c r="I72" s="89"/>
      <c r="J72" s="81"/>
      <c r="K72" s="81"/>
      <c r="L72" s="81"/>
      <c r="M72" s="81"/>
      <c r="N72" s="82"/>
    </row>
    <row r="73" spans="1:14" x14ac:dyDescent="0.2">
      <c r="A73" s="41" t="s">
        <v>161</v>
      </c>
      <c r="B73" s="255">
        <f>+'[3]Summary Category RPW Data'!$E$91/1000</f>
        <v>36226208.189000003</v>
      </c>
      <c r="C73" s="245">
        <f>B73/B$113</f>
        <v>0.44744332658319413</v>
      </c>
      <c r="D73" s="255">
        <f>+'[3]Summary Category RPW Data'!$C$91/1000</f>
        <v>7905868.4859999996</v>
      </c>
      <c r="E73" s="81"/>
      <c r="F73" s="81">
        <f>D73+E73</f>
        <v>7905868.4859999996</v>
      </c>
      <c r="G73" s="89">
        <f>F73/F$113</f>
        <v>0.46927836141138302</v>
      </c>
      <c r="H73" s="81"/>
      <c r="I73" s="89"/>
      <c r="J73" s="81"/>
      <c r="K73" s="81"/>
      <c r="L73" s="81"/>
      <c r="M73" s="81"/>
      <c r="N73" s="82"/>
    </row>
    <row r="74" spans="1:14" s="124" customFormat="1" x14ac:dyDescent="0.2">
      <c r="A74" s="88" t="s">
        <v>283</v>
      </c>
      <c r="B74" s="255">
        <f>B125</f>
        <v>1036466.001</v>
      </c>
      <c r="C74" s="245">
        <f>B74/B$113</f>
        <v>1.2801775801604312E-2</v>
      </c>
      <c r="D74" s="255">
        <f>D125</f>
        <v>214643.06899999999</v>
      </c>
      <c r="E74" s="84"/>
      <c r="F74" s="84">
        <f>D74+E74</f>
        <v>214643.06899999999</v>
      </c>
      <c r="G74" s="245">
        <f>F74/F$113</f>
        <v>1.2740832697508449E-2</v>
      </c>
      <c r="H74" s="84"/>
      <c r="I74" s="245"/>
      <c r="J74" s="84"/>
      <c r="K74" s="84"/>
      <c r="L74" s="84"/>
      <c r="M74" s="84"/>
      <c r="N74" s="233"/>
    </row>
    <row r="75" spans="1:14" ht="15.75" x14ac:dyDescent="0.25">
      <c r="A75" s="27" t="s">
        <v>162</v>
      </c>
      <c r="B75" s="247">
        <f>SUM(B72:B74)</f>
        <v>38023952.765000008</v>
      </c>
      <c r="C75" s="92">
        <f>B75/B$113</f>
        <v>0.46964793627448903</v>
      </c>
      <c r="D75" s="247">
        <f>SUM(D72:D74)</f>
        <v>8326076.2019999996</v>
      </c>
      <c r="E75" s="59"/>
      <c r="F75" s="59">
        <f>SUM(F72:F74)</f>
        <v>8326076.2019999996</v>
      </c>
      <c r="G75" s="92">
        <f>F75/F$113</f>
        <v>0.49422114774359927</v>
      </c>
      <c r="H75" s="59"/>
      <c r="I75" s="92"/>
      <c r="J75" s="59"/>
      <c r="K75" s="59"/>
      <c r="L75" s="59"/>
      <c r="M75" s="59"/>
      <c r="N75" s="96"/>
    </row>
    <row r="76" spans="1:14" ht="15.75" x14ac:dyDescent="0.25">
      <c r="A76" s="28" t="s">
        <v>163</v>
      </c>
      <c r="B76" s="248"/>
      <c r="D76" s="248"/>
      <c r="H76" s="81"/>
      <c r="N76" s="83"/>
    </row>
    <row r="77" spans="1:14" x14ac:dyDescent="0.2">
      <c r="A77" s="41" t="s">
        <v>160</v>
      </c>
      <c r="B77" s="248">
        <f>+'[3]Summary Category RPW Data'!$E$92/1000</f>
        <v>688735.29500000004</v>
      </c>
      <c r="C77" s="89">
        <f>B77/B$113</f>
        <v>8.5068249462452051E-3</v>
      </c>
      <c r="D77" s="248">
        <f>+'[3]Summary Category RPW Data'!$C$92/1000</f>
        <v>106637.88800000001</v>
      </c>
      <c r="E77" s="81"/>
      <c r="F77" s="81">
        <f>D77+E77</f>
        <v>106637.88800000001</v>
      </c>
      <c r="G77" s="89">
        <f>F77/F$113</f>
        <v>6.3298363024414462E-3</v>
      </c>
      <c r="H77" s="81"/>
      <c r="I77" s="89"/>
      <c r="J77" s="81"/>
      <c r="K77" s="81"/>
      <c r="L77" s="81"/>
      <c r="M77" s="81"/>
      <c r="N77" s="82"/>
    </row>
    <row r="78" spans="1:14" x14ac:dyDescent="0.2">
      <c r="A78" s="41" t="s">
        <v>161</v>
      </c>
      <c r="B78" s="248">
        <f>+'[3]Summary Category RPW Data'!$E$93/1000</f>
        <v>9078050.9199999999</v>
      </c>
      <c r="C78" s="89">
        <f>B78/B$113</f>
        <v>0.11212637219287597</v>
      </c>
      <c r="D78" s="248">
        <f>+'[3]Summary Category RPW Data'!$C$93/1000</f>
        <v>1045604.7830000001</v>
      </c>
      <c r="E78" s="81"/>
      <c r="F78" s="81">
        <f>D78+E78</f>
        <v>1045604.7830000001</v>
      </c>
      <c r="G78" s="89">
        <f>F78/F$113</f>
        <v>6.2065249392784391E-2</v>
      </c>
      <c r="H78" s="81"/>
      <c r="I78" s="89"/>
      <c r="J78" s="81"/>
      <c r="K78" s="81"/>
      <c r="L78" s="81"/>
      <c r="M78" s="81"/>
      <c r="N78" s="82"/>
    </row>
    <row r="79" spans="1:14" ht="16.5" thickBot="1" x14ac:dyDescent="0.3">
      <c r="A79" s="280" t="s">
        <v>164</v>
      </c>
      <c r="B79" s="294">
        <f>SUM(B77:B78)</f>
        <v>9766786.2149999999</v>
      </c>
      <c r="C79" s="286">
        <f>B79/B$113</f>
        <v>0.12063319713912117</v>
      </c>
      <c r="D79" s="294">
        <f>SUM(D77:D78)</f>
        <v>1152242.6710000001</v>
      </c>
      <c r="E79" s="281"/>
      <c r="F79" s="281">
        <f>SUM(F77:F78)</f>
        <v>1152242.6710000001</v>
      </c>
      <c r="G79" s="286">
        <f>F79/F$113</f>
        <v>6.8395085695225843E-2</v>
      </c>
      <c r="H79" s="281"/>
      <c r="I79" s="286"/>
      <c r="J79" s="281"/>
      <c r="K79" s="281"/>
      <c r="L79" s="281"/>
      <c r="M79" s="281"/>
      <c r="N79" s="301"/>
    </row>
    <row r="80" spans="1:14" ht="16.5" thickTop="1" x14ac:dyDescent="0.25">
      <c r="A80" s="288" t="s">
        <v>329</v>
      </c>
      <c r="B80" s="295">
        <f>B75+B79</f>
        <v>47790738.980000004</v>
      </c>
      <c r="C80" s="292">
        <f>B80/B$113</f>
        <v>0.5902811334136101</v>
      </c>
      <c r="D80" s="295">
        <f>D75+D79</f>
        <v>9478318.8729999997</v>
      </c>
      <c r="E80" s="289"/>
      <c r="F80" s="289">
        <f>F75+F79</f>
        <v>9478318.8729999997</v>
      </c>
      <c r="G80" s="292">
        <f>F80/F$113</f>
        <v>0.56261623343882505</v>
      </c>
      <c r="H80" s="289">
        <f>+[7]CS21!$K$26</f>
        <v>4902887.4433081429</v>
      </c>
      <c r="I80" s="292">
        <f>H80/H$113</f>
        <v>0.46161644340968006</v>
      </c>
      <c r="J80" s="289">
        <f>+D80-H80</f>
        <v>4575431.4296918567</v>
      </c>
      <c r="K80" s="289">
        <f>D80/B80*100</f>
        <v>19.832961522035873</v>
      </c>
      <c r="L80" s="289">
        <f>H80/B80*100</f>
        <v>10.259074347772604</v>
      </c>
      <c r="M80" s="289">
        <f>J80/B80*100</f>
        <v>9.5738871742632679</v>
      </c>
      <c r="N80" s="300">
        <f>D80/H80</f>
        <v>1.9332115987971079</v>
      </c>
    </row>
    <row r="81" spans="1:14" ht="15.75" x14ac:dyDescent="0.25">
      <c r="A81" s="28" t="s">
        <v>165</v>
      </c>
      <c r="B81" s="248"/>
      <c r="D81" s="248"/>
      <c r="H81" s="81"/>
      <c r="N81" s="83"/>
    </row>
    <row r="82" spans="1:14" x14ac:dyDescent="0.2">
      <c r="A82" s="41" t="s">
        <v>160</v>
      </c>
      <c r="B82" s="248">
        <f>+'[3]Summary Category RPW Data'!$E$94/1000</f>
        <v>230204.36900000001</v>
      </c>
      <c r="C82" s="89">
        <f>B82/B$113</f>
        <v>2.8433394994572423E-3</v>
      </c>
      <c r="D82" s="248">
        <f>+'[3]Summary Category RPW Data'!$C$94/1000</f>
        <v>117150.005</v>
      </c>
      <c r="E82" s="81"/>
      <c r="F82" s="81">
        <f>D82+E82</f>
        <v>117150.005</v>
      </c>
      <c r="G82" s="89">
        <f>F82/F$113</f>
        <v>6.9538169630684816E-3</v>
      </c>
      <c r="H82" s="81"/>
      <c r="I82" s="89"/>
      <c r="J82" s="81"/>
      <c r="K82" s="81"/>
      <c r="L82" s="81"/>
      <c r="M82" s="81"/>
      <c r="N82" s="82"/>
    </row>
    <row r="83" spans="1:14" x14ac:dyDescent="0.2">
      <c r="A83" s="41" t="s">
        <v>161</v>
      </c>
      <c r="B83" s="248">
        <f>+'[3]Summary Category RPW Data'!$E$95/1000</f>
        <v>4126510.74</v>
      </c>
      <c r="C83" s="89">
        <f>B83/B$113</f>
        <v>5.0968063868399194E-2</v>
      </c>
      <c r="D83" s="248">
        <f>+'[3]Summary Category RPW Data'!$C$95/1000</f>
        <v>1699128.594</v>
      </c>
      <c r="E83" s="81"/>
      <c r="F83" s="81">
        <f>D83+E83</f>
        <v>1699128.594</v>
      </c>
      <c r="G83" s="89">
        <f>F83/F$113</f>
        <v>0.10085726619808423</v>
      </c>
      <c r="H83" s="81"/>
      <c r="I83" s="89"/>
      <c r="J83" s="81"/>
      <c r="K83" s="81"/>
      <c r="L83" s="81"/>
      <c r="M83" s="81"/>
      <c r="N83" s="82"/>
    </row>
    <row r="84" spans="1:14" x14ac:dyDescent="0.2">
      <c r="A84" s="41" t="s">
        <v>284</v>
      </c>
      <c r="B84" s="248">
        <f>B126</f>
        <v>0</v>
      </c>
      <c r="C84" s="89">
        <f>B84/B$113</f>
        <v>0</v>
      </c>
      <c r="D84" s="248">
        <f>D126</f>
        <v>0</v>
      </c>
      <c r="E84" s="81"/>
      <c r="F84" s="81">
        <f>D84+E84</f>
        <v>0</v>
      </c>
      <c r="G84" s="89">
        <f>F84/F$113</f>
        <v>0</v>
      </c>
      <c r="H84" s="81"/>
      <c r="I84" s="89"/>
      <c r="J84" s="81"/>
      <c r="K84" s="81"/>
      <c r="L84" s="81"/>
      <c r="M84" s="81"/>
      <c r="N84" s="82"/>
    </row>
    <row r="85" spans="1:14" ht="15.75" x14ac:dyDescent="0.25">
      <c r="A85" s="27" t="s">
        <v>166</v>
      </c>
      <c r="B85" s="247">
        <f>SUM(B82:B84)</f>
        <v>4356715.1090000002</v>
      </c>
      <c r="C85" s="92">
        <f>B85/B$113</f>
        <v>5.381140336785644E-2</v>
      </c>
      <c r="D85" s="247">
        <f>SUM(D82:D84)</f>
        <v>1816278.5989999999</v>
      </c>
      <c r="E85" s="59"/>
      <c r="F85" s="59">
        <f>SUM(F82:F84)</f>
        <v>1816278.5989999999</v>
      </c>
      <c r="G85" s="92">
        <f>F85/F$113</f>
        <v>0.1078110831611527</v>
      </c>
      <c r="H85" s="59"/>
      <c r="I85" s="92"/>
      <c r="J85" s="59"/>
      <c r="K85" s="59"/>
      <c r="L85" s="59"/>
      <c r="M85" s="59"/>
      <c r="N85" s="96"/>
    </row>
    <row r="86" spans="1:14" ht="15.75" x14ac:dyDescent="0.25">
      <c r="A86" s="28" t="s">
        <v>167</v>
      </c>
      <c r="B86" s="248"/>
      <c r="D86" s="248"/>
      <c r="H86" s="81"/>
      <c r="N86" s="83"/>
    </row>
    <row r="87" spans="1:14" x14ac:dyDescent="0.2">
      <c r="A87" s="41" t="s">
        <v>160</v>
      </c>
      <c r="B87" s="248">
        <f>+'[3]Summary Category RPW Data'!$E$96/1000</f>
        <v>77465.953999999998</v>
      </c>
      <c r="C87" s="89">
        <f>B87/B$113</f>
        <v>9.5681071487977603E-4</v>
      </c>
      <c r="D87" s="248">
        <f>+'[3]Summary Category RPW Data'!$C$96/1000</f>
        <v>25834.367999999999</v>
      </c>
      <c r="E87" s="81"/>
      <c r="F87" s="81">
        <f>D87+E87</f>
        <v>25834.367999999999</v>
      </c>
      <c r="G87" s="89">
        <f>F87/F$113</f>
        <v>1.5334823624510603E-3</v>
      </c>
      <c r="H87" s="81"/>
      <c r="I87" s="89"/>
      <c r="J87" s="81"/>
      <c r="K87" s="81"/>
      <c r="L87" s="81"/>
      <c r="M87" s="81"/>
      <c r="N87" s="82"/>
    </row>
    <row r="88" spans="1:14" x14ac:dyDescent="0.2">
      <c r="A88" s="41" t="s">
        <v>161</v>
      </c>
      <c r="B88" s="248">
        <f>+'[3]Summary Category RPW Data'!$E$97/1000</f>
        <v>1133838.3500000001</v>
      </c>
      <c r="C88" s="89">
        <f>B88/B$113</f>
        <v>1.4004457780531637E-2</v>
      </c>
      <c r="D88" s="248">
        <f>+'[3]Summary Category RPW Data'!$C$97/1000</f>
        <v>292016.14</v>
      </c>
      <c r="E88" s="81"/>
      <c r="F88" s="81">
        <f>D88+E88</f>
        <v>292016.14</v>
      </c>
      <c r="G88" s="89">
        <f>F88/F$113</f>
        <v>1.7333561256115872E-2</v>
      </c>
      <c r="H88" s="81"/>
      <c r="I88" s="89"/>
      <c r="J88" s="81"/>
      <c r="K88" s="81"/>
      <c r="L88" s="81"/>
      <c r="M88" s="81"/>
      <c r="N88" s="82"/>
    </row>
    <row r="89" spans="1:14" ht="16.5" thickBot="1" x14ac:dyDescent="0.3">
      <c r="A89" s="280" t="s">
        <v>168</v>
      </c>
      <c r="B89" s="294">
        <f>SUM(B87:B88)</f>
        <v>1211304.304</v>
      </c>
      <c r="C89" s="286">
        <f>B89/B$113</f>
        <v>1.4961268495411411E-2</v>
      </c>
      <c r="D89" s="294">
        <f>SUM(D87:D88)</f>
        <v>317850.50800000003</v>
      </c>
      <c r="E89" s="281"/>
      <c r="F89" s="281">
        <f>SUM(F87:F88)</f>
        <v>317850.50800000003</v>
      </c>
      <c r="G89" s="286">
        <f>F89/F$113</f>
        <v>1.8867043618566934E-2</v>
      </c>
      <c r="H89" s="281"/>
      <c r="I89" s="286"/>
      <c r="J89" s="281"/>
      <c r="K89" s="281"/>
      <c r="L89" s="281"/>
      <c r="M89" s="281"/>
      <c r="N89" s="301"/>
    </row>
    <row r="90" spans="1:14" ht="16.5" thickTop="1" x14ac:dyDescent="0.25">
      <c r="A90" s="288" t="s">
        <v>169</v>
      </c>
      <c r="B90" s="295">
        <f>B85+B89</f>
        <v>5568019.4130000006</v>
      </c>
      <c r="C90" s="292">
        <f>B90/B$113</f>
        <v>6.8772671863267854E-2</v>
      </c>
      <c r="D90" s="295">
        <f>D85+D89</f>
        <v>2134129.1069999998</v>
      </c>
      <c r="E90" s="289"/>
      <c r="F90" s="289">
        <f>F85+F89</f>
        <v>2134129.1069999998</v>
      </c>
      <c r="G90" s="292">
        <f>F90/F$113</f>
        <v>0.12667812677971962</v>
      </c>
      <c r="H90" s="289">
        <f>+[7]CS21!$K$27</f>
        <v>2514245.8211699976</v>
      </c>
      <c r="I90" s="292">
        <f>H90/H$113</f>
        <v>0.23672116222252848</v>
      </c>
      <c r="J90" s="289">
        <f>+D90-H90</f>
        <v>-380116.71416999772</v>
      </c>
      <c r="K90" s="289">
        <f>D90/B90*100</f>
        <v>38.328334524432798</v>
      </c>
      <c r="L90" s="289">
        <f>H90/B90*100</f>
        <v>45.155119525981391</v>
      </c>
      <c r="M90" s="289">
        <f>J90/B90*100</f>
        <v>-6.8267850015485871</v>
      </c>
      <c r="N90" s="300">
        <f>D90/H90</f>
        <v>0.84881481716329887</v>
      </c>
    </row>
    <row r="91" spans="1:14" ht="15.75" x14ac:dyDescent="0.25">
      <c r="A91" s="151" t="s">
        <v>328</v>
      </c>
      <c r="B91" s="247"/>
      <c r="C91" s="92"/>
      <c r="D91" s="247"/>
      <c r="E91" s="59"/>
      <c r="F91" s="59"/>
      <c r="G91" s="92"/>
      <c r="H91" s="59"/>
      <c r="I91" s="92"/>
      <c r="J91" s="59"/>
      <c r="K91" s="59"/>
      <c r="L91" s="59"/>
      <c r="M91" s="59"/>
      <c r="N91" s="96"/>
    </row>
    <row r="92" spans="1:14" ht="15.75" x14ac:dyDescent="0.25">
      <c r="A92" s="293" t="s">
        <v>327</v>
      </c>
      <c r="B92" s="295">
        <f>+'[3]Summary Category RPW Data'!$E$98/1000</f>
        <v>974774.14099999995</v>
      </c>
      <c r="C92" s="292"/>
      <c r="D92" s="295">
        <f>+'[3]Summary Category RPW Data'!$C$98/1000</f>
        <v>138417.92800000001</v>
      </c>
      <c r="E92" s="289"/>
      <c r="F92" s="289">
        <f>+D92</f>
        <v>138417.92800000001</v>
      </c>
      <c r="G92" s="292">
        <f>F92/F$113</f>
        <v>8.2162432320783234E-3</v>
      </c>
      <c r="H92" s="289">
        <f>+[7]CS21!$K$23</f>
        <v>842701.13789624779</v>
      </c>
      <c r="I92" s="292">
        <f>H92/H$113</f>
        <v>7.9341960555080929E-2</v>
      </c>
      <c r="J92" s="289">
        <f>+D92-H92</f>
        <v>-704283.20989624783</v>
      </c>
      <c r="K92" s="289">
        <f>D92/B92*100</f>
        <v>14.199999997743069</v>
      </c>
      <c r="L92" s="289">
        <f>H92/B92*100</f>
        <v>86.450912314081165</v>
      </c>
      <c r="M92" s="289">
        <f>J92/B92*100</f>
        <v>-72.250912316338102</v>
      </c>
      <c r="N92" s="300">
        <f>D92/H92</f>
        <v>0.1642550624122236</v>
      </c>
    </row>
    <row r="93" spans="1:14" ht="15.75" x14ac:dyDescent="0.25">
      <c r="A93" s="73" t="s">
        <v>170</v>
      </c>
      <c r="B93" s="248"/>
      <c r="D93" s="248"/>
      <c r="H93" s="81"/>
      <c r="N93" s="83"/>
    </row>
    <row r="94" spans="1:14" x14ac:dyDescent="0.2">
      <c r="A94" s="41" t="s">
        <v>171</v>
      </c>
      <c r="B94" s="248">
        <f>+'[3]Summary Category RPW Data'!$E$99/1000+'[3]Summary Category RPW Data'!$E$103/1000</f>
        <v>55275.451999999997</v>
      </c>
      <c r="C94" s="89">
        <f t="shared" ref="C94:C110" si="26">B94/B$113</f>
        <v>6.827275985450686E-4</v>
      </c>
      <c r="D94" s="248">
        <f>+'[3]Summary Category RPW Data'!$C$99/1000+'[3]Summary Category RPW Data'!$C$103/1000</f>
        <v>45873.944000000003</v>
      </c>
      <c r="E94" s="81"/>
      <c r="F94" s="81">
        <f>D94+E94</f>
        <v>45873.944000000003</v>
      </c>
      <c r="G94" s="89">
        <f t="shared" ref="G94:G110" si="27">F94/F$113</f>
        <v>2.7229961274867517E-3</v>
      </c>
      <c r="H94" s="81"/>
      <c r="I94" s="89"/>
      <c r="J94" s="81"/>
      <c r="K94" s="81"/>
      <c r="L94" s="81"/>
      <c r="M94" s="81"/>
      <c r="N94" s="82"/>
    </row>
    <row r="95" spans="1:14" x14ac:dyDescent="0.2">
      <c r="A95" s="162" t="s">
        <v>317</v>
      </c>
      <c r="B95" s="248">
        <f>+'[3]Summary Category RPW Data'!$E$101</f>
        <v>0</v>
      </c>
      <c r="C95" s="89">
        <f t="shared" si="26"/>
        <v>0</v>
      </c>
      <c r="D95" s="248">
        <f>+'[3]Summary Category RPW Data'!$C$101/1000</f>
        <v>1.2430000000000001</v>
      </c>
      <c r="E95" s="81"/>
      <c r="F95" s="81">
        <f>D95+E95</f>
        <v>1.2430000000000001</v>
      </c>
      <c r="G95" s="89">
        <f t="shared" si="27"/>
        <v>7.3782280121064634E-8</v>
      </c>
      <c r="H95" s="81"/>
      <c r="I95" s="89"/>
      <c r="J95" s="81"/>
      <c r="K95" s="81"/>
      <c r="L95" s="81"/>
      <c r="M95" s="81"/>
      <c r="N95" s="82"/>
    </row>
    <row r="96" spans="1:14" ht="15.75" x14ac:dyDescent="0.25">
      <c r="A96" s="28" t="s">
        <v>172</v>
      </c>
      <c r="B96" s="247">
        <f>SUM(B94:B95)</f>
        <v>55275.451999999997</v>
      </c>
      <c r="C96" s="92">
        <f t="shared" si="26"/>
        <v>6.827275985450686E-4</v>
      </c>
      <c r="D96" s="247">
        <f>SUM(D94:D95)</f>
        <v>45875.187000000005</v>
      </c>
      <c r="E96" s="59"/>
      <c r="F96" s="59">
        <f>SUM(F94:F95)</f>
        <v>45875.187000000005</v>
      </c>
      <c r="G96" s="92">
        <f t="shared" si="27"/>
        <v>2.7230699097668728E-3</v>
      </c>
      <c r="H96" s="59"/>
      <c r="I96" s="92"/>
      <c r="J96" s="59"/>
      <c r="K96" s="59"/>
      <c r="L96" s="59"/>
      <c r="M96" s="59"/>
      <c r="N96" s="96"/>
    </row>
    <row r="97" spans="1:14" x14ac:dyDescent="0.2">
      <c r="A97" s="41" t="s">
        <v>173</v>
      </c>
      <c r="B97" s="248">
        <f>+'[3]Summary Category RPW Data'!$E$104/1000+'[3]Summary Category RPW Data'!$E$100/1000</f>
        <v>16690.78</v>
      </c>
      <c r="C97" s="89">
        <f t="shared" si="26"/>
        <v>2.0615401113760335E-4</v>
      </c>
      <c r="D97" s="248">
        <f>+'[3]Summary Category RPW Data'!$C$104/1000+'[3]Summary Category RPW Data'!$C$100/1000</f>
        <v>24439.445</v>
      </c>
      <c r="E97" s="81"/>
      <c r="F97" s="81">
        <f>D97+E97</f>
        <v>24439.445</v>
      </c>
      <c r="G97" s="89">
        <f t="shared" si="27"/>
        <v>1.4506822019254644E-3</v>
      </c>
      <c r="H97" s="81"/>
      <c r="I97" s="89"/>
      <c r="J97" s="81"/>
      <c r="K97" s="81"/>
      <c r="L97" s="81"/>
      <c r="M97" s="81"/>
      <c r="N97" s="82"/>
    </row>
    <row r="98" spans="1:14" x14ac:dyDescent="0.2">
      <c r="A98" s="162" t="s">
        <v>316</v>
      </c>
      <c r="B98" s="248">
        <f>+'[3]Summary Category RPW Data'!$E$102</f>
        <v>0</v>
      </c>
      <c r="C98" s="89">
        <f t="shared" si="26"/>
        <v>0</v>
      </c>
      <c r="D98" s="248">
        <f>+'[3]Summary Category RPW Data'!$C$102</f>
        <v>0</v>
      </c>
      <c r="E98" s="81"/>
      <c r="F98" s="81">
        <f>D98+E98</f>
        <v>0</v>
      </c>
      <c r="G98" s="89">
        <f t="shared" si="27"/>
        <v>0</v>
      </c>
      <c r="H98" s="81"/>
      <c r="I98" s="89"/>
      <c r="J98" s="81"/>
      <c r="K98" s="81"/>
      <c r="L98" s="81"/>
      <c r="M98" s="81"/>
      <c r="N98" s="82"/>
    </row>
    <row r="99" spans="1:14" ht="15.75" x14ac:dyDescent="0.25">
      <c r="A99" s="28" t="s">
        <v>174</v>
      </c>
      <c r="B99" s="247">
        <f>SUM(B97:B98)</f>
        <v>16690.78</v>
      </c>
      <c r="C99" s="92">
        <f t="shared" si="26"/>
        <v>2.0615401113760335E-4</v>
      </c>
      <c r="D99" s="247">
        <f>SUM(D97:D98)</f>
        <v>24439.445</v>
      </c>
      <c r="E99" s="59"/>
      <c r="F99" s="59">
        <f>SUM(F97:F98)</f>
        <v>24439.445</v>
      </c>
      <c r="G99" s="92">
        <f t="shared" si="27"/>
        <v>1.4506822019254644E-3</v>
      </c>
      <c r="H99" s="59"/>
      <c r="I99" s="92"/>
      <c r="J99" s="59"/>
      <c r="K99" s="59"/>
      <c r="L99" s="59"/>
      <c r="M99" s="59"/>
      <c r="N99" s="96"/>
    </row>
    <row r="100" spans="1:14" ht="16.5" thickBot="1" x14ac:dyDescent="0.3">
      <c r="A100" s="285"/>
      <c r="B100" s="294"/>
      <c r="C100" s="286"/>
      <c r="D100" s="294"/>
      <c r="E100" s="281"/>
      <c r="F100" s="281"/>
      <c r="G100" s="286"/>
      <c r="H100" s="281"/>
      <c r="I100" s="286"/>
      <c r="J100" s="281"/>
      <c r="K100" s="281"/>
      <c r="L100" s="281"/>
      <c r="M100" s="281"/>
      <c r="N100" s="301"/>
    </row>
    <row r="101" spans="1:14" ht="16.5" thickTop="1" x14ac:dyDescent="0.25">
      <c r="A101" s="288" t="s">
        <v>175</v>
      </c>
      <c r="B101" s="295">
        <f>B96+B99</f>
        <v>71966.231999999989</v>
      </c>
      <c r="C101" s="292">
        <f t="shared" si="26"/>
        <v>8.8888160968267186E-4</v>
      </c>
      <c r="D101" s="295">
        <f>D96+D99</f>
        <v>70314.632000000012</v>
      </c>
      <c r="E101" s="298"/>
      <c r="F101" s="291">
        <f>F96+F99</f>
        <v>70314.632000000012</v>
      </c>
      <c r="G101" s="292">
        <f t="shared" si="27"/>
        <v>4.1737521116923379E-3</v>
      </c>
      <c r="H101" s="289">
        <f>+[7]CS21!$K$28</f>
        <v>109644.69673193023</v>
      </c>
      <c r="I101" s="292">
        <f t="shared" ref="I101" si="28">H101/H$113</f>
        <v>1.032326267518305E-2</v>
      </c>
      <c r="J101" s="289">
        <f>+D101-H101</f>
        <v>-39330.064731930222</v>
      </c>
      <c r="K101" s="289">
        <f t="shared" ref="K101" si="29">D101/B101*100</f>
        <v>97.70503477241941</v>
      </c>
      <c r="L101" s="289">
        <f t="shared" ref="L101" si="30">H101/B101*100</f>
        <v>152.35575586607098</v>
      </c>
      <c r="M101" s="289">
        <f t="shared" ref="M101" si="31">J101/B101*100</f>
        <v>-54.650721093651576</v>
      </c>
      <c r="N101" s="300">
        <f t="shared" ref="N101:N110" si="32">D101/H101</f>
        <v>0.64129533024211738</v>
      </c>
    </row>
    <row r="102" spans="1:14" ht="15.75" x14ac:dyDescent="0.25">
      <c r="A102" s="28"/>
      <c r="B102" s="247"/>
      <c r="C102" s="92"/>
      <c r="D102" s="247"/>
      <c r="E102" s="59"/>
      <c r="F102" s="139"/>
      <c r="G102" s="92"/>
      <c r="H102" s="59"/>
      <c r="I102" s="92"/>
      <c r="J102" s="59"/>
      <c r="K102" s="59"/>
      <c r="L102" s="59"/>
      <c r="M102" s="59"/>
      <c r="N102" s="96"/>
    </row>
    <row r="103" spans="1:14" ht="15.75" x14ac:dyDescent="0.25">
      <c r="A103" s="27" t="s">
        <v>176</v>
      </c>
      <c r="B103" s="247">
        <f>B75+B85+B96+B92</f>
        <v>43410717.467000008</v>
      </c>
      <c r="C103" s="92">
        <f t="shared" si="26"/>
        <v>0.53618186401014645</v>
      </c>
      <c r="D103" s="247">
        <f>D75+D85+D96+D92</f>
        <v>10326647.915999999</v>
      </c>
      <c r="E103" s="139"/>
      <c r="F103" s="210">
        <f>F75+F85+F96</f>
        <v>10188229.988</v>
      </c>
      <c r="G103" s="92">
        <f t="shared" si="27"/>
        <v>0.60475530081451889</v>
      </c>
      <c r="H103" s="59"/>
      <c r="I103" s="92"/>
      <c r="J103" s="59"/>
      <c r="K103" s="59"/>
      <c r="L103" s="59"/>
      <c r="M103" s="59"/>
      <c r="N103" s="96"/>
    </row>
    <row r="104" spans="1:14" ht="15.75" x14ac:dyDescent="0.25">
      <c r="A104" s="27"/>
      <c r="B104" s="247"/>
      <c r="C104" s="92"/>
      <c r="D104" s="247"/>
      <c r="E104" s="139"/>
      <c r="F104" s="210"/>
      <c r="G104" s="92"/>
      <c r="H104" s="59"/>
      <c r="I104" s="92"/>
      <c r="J104" s="59"/>
      <c r="K104" s="59"/>
      <c r="L104" s="59"/>
      <c r="M104" s="59"/>
      <c r="N104" s="96"/>
    </row>
    <row r="105" spans="1:14" ht="15.75" x14ac:dyDescent="0.25">
      <c r="A105" s="27" t="s">
        <v>177</v>
      </c>
      <c r="B105" s="247">
        <f>B79+B89+B99</f>
        <v>10994781.298999999</v>
      </c>
      <c r="C105" s="92">
        <f t="shared" si="26"/>
        <v>0.13580061964567017</v>
      </c>
      <c r="D105" s="247">
        <f>D79+D89+D99</f>
        <v>1494532.6240000001</v>
      </c>
      <c r="E105" s="139"/>
      <c r="F105" s="210">
        <f>F79+F89+F99</f>
        <v>1494532.6240000001</v>
      </c>
      <c r="G105" s="92">
        <f t="shared" si="27"/>
        <v>8.8712811515718235E-2</v>
      </c>
      <c r="H105" s="59"/>
      <c r="I105" s="92"/>
      <c r="J105" s="59"/>
      <c r="K105" s="59"/>
      <c r="L105" s="59"/>
      <c r="M105" s="59"/>
      <c r="N105" s="96"/>
    </row>
    <row r="106" spans="1:14" ht="15.75" x14ac:dyDescent="0.25">
      <c r="A106" s="119" t="s">
        <v>79</v>
      </c>
      <c r="B106" s="247">
        <f>SUM(B103:B105)</f>
        <v>54405498.766000003</v>
      </c>
      <c r="C106" s="92">
        <f t="shared" si="26"/>
        <v>0.67198248365581659</v>
      </c>
      <c r="D106" s="247">
        <f>SUM(D103:D105)</f>
        <v>11821180.539999999</v>
      </c>
      <c r="E106" s="139"/>
      <c r="F106" s="210">
        <f>SUM(F103:F105)</f>
        <v>11682762.612</v>
      </c>
      <c r="G106" s="92">
        <f t="shared" si="27"/>
        <v>0.69346811233023709</v>
      </c>
      <c r="H106" s="59"/>
      <c r="I106" s="92"/>
      <c r="J106" s="59"/>
      <c r="K106" s="59"/>
      <c r="L106" s="59"/>
      <c r="M106" s="59"/>
      <c r="N106" s="96"/>
    </row>
    <row r="107" spans="1:14" ht="15.75" x14ac:dyDescent="0.25">
      <c r="A107" s="119" t="s">
        <v>231</v>
      </c>
      <c r="B107" s="247">
        <f>B67+B103</f>
        <v>67604138.463</v>
      </c>
      <c r="C107" s="92">
        <f t="shared" si="26"/>
        <v>0.83500377535677672</v>
      </c>
      <c r="D107" s="247">
        <f>D67+D103</f>
        <v>15170390.784</v>
      </c>
      <c r="E107" s="139"/>
      <c r="F107" s="139">
        <f>F67+F103</f>
        <v>15031972.856000001</v>
      </c>
      <c r="G107" s="92">
        <f t="shared" si="27"/>
        <v>0.89227130493453899</v>
      </c>
      <c r="H107" s="59"/>
      <c r="I107" s="92"/>
      <c r="J107" s="59"/>
      <c r="K107" s="59"/>
      <c r="L107" s="59"/>
      <c r="M107" s="59"/>
      <c r="N107" s="96"/>
    </row>
    <row r="108" spans="1:14" ht="15.75" x14ac:dyDescent="0.25">
      <c r="A108" s="119" t="s">
        <v>232</v>
      </c>
      <c r="B108" s="247">
        <f>B68+B105</f>
        <v>13358416.165999999</v>
      </c>
      <c r="C108" s="92">
        <f t="shared" si="26"/>
        <v>0.16499475009953427</v>
      </c>
      <c r="D108" s="247">
        <f>D68+D105</f>
        <v>1758564.0050000001</v>
      </c>
      <c r="E108" s="139"/>
      <c r="F108" s="139">
        <f>F68+F105</f>
        <v>1758564.0050000001</v>
      </c>
      <c r="G108" s="92">
        <f t="shared" si="27"/>
        <v>0.10438524700541538</v>
      </c>
      <c r="H108" s="59"/>
      <c r="I108" s="92"/>
      <c r="J108" s="59"/>
      <c r="K108" s="59"/>
      <c r="L108" s="59"/>
      <c r="M108" s="59"/>
      <c r="N108" s="96"/>
    </row>
    <row r="109" spans="1:14" ht="15.75" x14ac:dyDescent="0.25">
      <c r="A109" s="119" t="s">
        <v>178</v>
      </c>
      <c r="B109" s="247">
        <f>B69+B106</f>
        <v>80962554.629000008</v>
      </c>
      <c r="C109" s="92">
        <f t="shared" si="26"/>
        <v>0.99999852545631107</v>
      </c>
      <c r="D109" s="247">
        <f>D69+D106</f>
        <v>16928954.789000001</v>
      </c>
      <c r="E109" s="139"/>
      <c r="F109" s="210">
        <f>F69+F106</f>
        <v>16790536.861000001</v>
      </c>
      <c r="G109" s="92">
        <f t="shared" si="27"/>
        <v>0.99665655193995439</v>
      </c>
      <c r="H109" s="59"/>
      <c r="I109" s="92"/>
      <c r="J109" s="59"/>
      <c r="K109" s="59"/>
      <c r="L109" s="59"/>
      <c r="M109" s="59"/>
      <c r="N109" s="96"/>
    </row>
    <row r="110" spans="1:14" ht="15.75" x14ac:dyDescent="0.25">
      <c r="A110" s="63" t="s">
        <v>258</v>
      </c>
      <c r="B110" s="248">
        <f>+'[3]Summary Category RPW Data'!$E$132/1000</f>
        <v>119.383</v>
      </c>
      <c r="C110" s="89">
        <f t="shared" si="26"/>
        <v>1.4745436888893449E-6</v>
      </c>
      <c r="D110" s="248">
        <f>+'[3]Summary Category RPW Data'!$C$132/1000</f>
        <v>76.849000000000004</v>
      </c>
      <c r="E110" s="59"/>
      <c r="F110" s="84">
        <f>D110+E110</f>
        <v>76.849000000000004</v>
      </c>
      <c r="G110" s="89">
        <f t="shared" si="27"/>
        <v>4.5616206315556685E-6</v>
      </c>
      <c r="H110" s="240">
        <f>+'[1]ACR2013 MD IB Intl NSAs'!$AB$68</f>
        <v>107.51544160007887</v>
      </c>
      <c r="I110" s="89"/>
      <c r="J110" s="81">
        <f>D110-H110</f>
        <v>-30.666441600078869</v>
      </c>
      <c r="K110" s="81">
        <f>D110/B110*100</f>
        <v>64.371811731988643</v>
      </c>
      <c r="L110" s="81"/>
      <c r="M110" s="81">
        <f>J110/B110*100</f>
        <v>-25.687444276051757</v>
      </c>
      <c r="N110" s="96">
        <f t="shared" si="32"/>
        <v>0.71477174679570521</v>
      </c>
    </row>
    <row r="111" spans="1:14" ht="15.75" x14ac:dyDescent="0.25">
      <c r="A111" s="119" t="s">
        <v>178</v>
      </c>
      <c r="B111" s="247">
        <f>SUM(B109:B110)</f>
        <v>80962674.012000009</v>
      </c>
      <c r="C111" s="89"/>
      <c r="D111" s="247">
        <f>SUM(D109:D110)</f>
        <v>16929031.638</v>
      </c>
      <c r="E111" s="59"/>
      <c r="F111" s="139">
        <f>SUM(F109:F110)</f>
        <v>16790613.710000001</v>
      </c>
      <c r="G111" s="89"/>
      <c r="H111" s="59">
        <f>+[7]CS21!$K$30</f>
        <v>10621128.240349269</v>
      </c>
      <c r="I111" s="89"/>
      <c r="J111" s="59">
        <f>SUM(J109:J110)</f>
        <v>-30.666441600078869</v>
      </c>
      <c r="K111" s="59">
        <f>D111/B111*100</f>
        <v>20.909674543964343</v>
      </c>
      <c r="L111" s="59">
        <f>H111/B111*100</f>
        <v>13.118549220317306</v>
      </c>
      <c r="M111" s="59">
        <f>J111/B111*100</f>
        <v>-3.7877258840948848E-5</v>
      </c>
      <c r="N111" s="96">
        <f>D111/H111</f>
        <v>1.5939014438868409</v>
      </c>
    </row>
    <row r="112" spans="1:14" ht="15.75" x14ac:dyDescent="0.25">
      <c r="A112" s="38" t="s">
        <v>179</v>
      </c>
      <c r="B112" s="248"/>
      <c r="C112" s="89"/>
      <c r="D112" s="248">
        <f>E121</f>
        <v>56249.764000000003</v>
      </c>
      <c r="E112" s="81"/>
      <c r="F112" s="81">
        <f>D112+E112</f>
        <v>56249.764000000003</v>
      </c>
      <c r="G112" s="89">
        <f>F112/F$113</f>
        <v>3.338886439414141E-3</v>
      </c>
      <c r="H112" s="59"/>
      <c r="I112" s="89"/>
      <c r="J112" s="81">
        <f>D112-H112</f>
        <v>56249.764000000003</v>
      </c>
      <c r="L112" s="73"/>
      <c r="M112" s="73"/>
      <c r="N112" s="83"/>
    </row>
    <row r="113" spans="1:14" ht="15.75" x14ac:dyDescent="0.25">
      <c r="A113" s="119" t="s">
        <v>29</v>
      </c>
      <c r="B113" s="247">
        <f>B111+B112</f>
        <v>80962674.012000009</v>
      </c>
      <c r="C113" s="92">
        <f>B113/B$113</f>
        <v>1</v>
      </c>
      <c r="D113" s="247">
        <f>D111+D112</f>
        <v>16985281.401999999</v>
      </c>
      <c r="E113" s="59"/>
      <c r="F113" s="59">
        <f>F111+F112</f>
        <v>16846863.473999999</v>
      </c>
      <c r="G113" s="92">
        <f>F113/F$113</f>
        <v>1</v>
      </c>
      <c r="H113" s="59">
        <f>+[7]CS21!$K$30</f>
        <v>10621128.240349269</v>
      </c>
      <c r="I113" s="92">
        <f>H113/H$113</f>
        <v>1</v>
      </c>
      <c r="J113" s="59">
        <f>J111+J112</f>
        <v>56219.097558399924</v>
      </c>
      <c r="K113" s="59">
        <f>D113/B113*100</f>
        <v>20.979150712688295</v>
      </c>
      <c r="L113" s="59">
        <f>H113/B113*100</f>
        <v>13.118549220317306</v>
      </c>
      <c r="M113" s="59">
        <f>J113/B113*100</f>
        <v>6.9438291465110602E-2</v>
      </c>
      <c r="N113" s="96">
        <f>D113/H113</f>
        <v>1.5991974691985689</v>
      </c>
    </row>
    <row r="114" spans="1:14" ht="15.75" x14ac:dyDescent="0.25">
      <c r="A114" s="73" t="s">
        <v>300</v>
      </c>
      <c r="B114" s="247">
        <f>+'[3]PRC RPW'!$G$59</f>
        <v>80962674.012000009</v>
      </c>
      <c r="C114" s="73"/>
      <c r="D114" s="247">
        <f>+'[3]PRC RPW'!$B$59</f>
        <v>16985281.401999995</v>
      </c>
      <c r="H114" s="59">
        <f>+[8]Cost1!$D$52*1000</f>
        <v>10621235.755790865</v>
      </c>
      <c r="I114" s="83"/>
      <c r="J114" s="59"/>
    </row>
    <row r="115" spans="1:14" ht="15.75" x14ac:dyDescent="0.25">
      <c r="B115" s="248">
        <f>+B113-B114</f>
        <v>0</v>
      </c>
      <c r="D115" s="248">
        <f>+D113-D114</f>
        <v>0</v>
      </c>
      <c r="H115" s="145">
        <f>+H113-H114</f>
        <v>-107.51544159650803</v>
      </c>
      <c r="I115" s="83"/>
      <c r="J115" s="93"/>
      <c r="K115" s="272"/>
    </row>
    <row r="116" spans="1:14" ht="15.75" x14ac:dyDescent="0.25">
      <c r="A116" s="143"/>
      <c r="B116" s="248"/>
      <c r="D116" s="248"/>
      <c r="H116" s="145"/>
      <c r="I116" s="83"/>
      <c r="J116" s="93"/>
      <c r="K116" s="272"/>
    </row>
    <row r="117" spans="1:14" ht="15.75" x14ac:dyDescent="0.25">
      <c r="A117" s="76" t="s">
        <v>180</v>
      </c>
      <c r="B117" s="248"/>
      <c r="D117" s="248"/>
      <c r="H117" s="81"/>
      <c r="I117" s="81"/>
    </row>
    <row r="118" spans="1:14" x14ac:dyDescent="0.2">
      <c r="A118" s="38" t="s">
        <v>181</v>
      </c>
      <c r="B118" s="248">
        <f>+'[3]Summary Category RPW Data'!$E$136/1000</f>
        <v>1361.681</v>
      </c>
      <c r="C118" s="81"/>
      <c r="D118" s="248"/>
      <c r="E118" s="248">
        <f>+'[3]Summary Category RPW Data'!$C$136/1000</f>
        <v>3661.9630000000002</v>
      </c>
      <c r="H118" s="81"/>
      <c r="I118" s="81"/>
      <c r="J118" s="81"/>
      <c r="K118" s="81">
        <f>E118/B118*100</f>
        <v>268.92958042302126</v>
      </c>
    </row>
    <row r="119" spans="1:14" x14ac:dyDescent="0.2">
      <c r="A119" s="38" t="s">
        <v>182</v>
      </c>
      <c r="B119" s="248">
        <f>+'[3]Summary Category RPW Data'!$E$133/1000</f>
        <v>1903.951</v>
      </c>
      <c r="C119" s="81"/>
      <c r="D119" s="248"/>
      <c r="E119" s="248">
        <f>+'[3]Summary Category RPW Data'!$C$133/1000</f>
        <v>10751.003000000001</v>
      </c>
      <c r="H119" s="81"/>
      <c r="I119" s="81"/>
      <c r="J119" s="81"/>
      <c r="K119" s="81">
        <f>E119/B119*100</f>
        <v>564.6680508059294</v>
      </c>
    </row>
    <row r="120" spans="1:14" x14ac:dyDescent="0.2">
      <c r="A120" s="38" t="s">
        <v>121</v>
      </c>
      <c r="B120" s="248"/>
      <c r="C120" s="81"/>
      <c r="D120" s="248"/>
      <c r="E120" s="81">
        <f>+'[3]Summary Category RPW Data'!$C$135/1000+'[3]Summary Category RPW Data'!$C$134/1000</f>
        <v>41836.798000000003</v>
      </c>
      <c r="H120" s="81"/>
      <c r="I120" s="81"/>
      <c r="J120" s="81"/>
    </row>
    <row r="121" spans="1:14" ht="15.75" x14ac:dyDescent="0.25">
      <c r="A121" s="27" t="s">
        <v>183</v>
      </c>
      <c r="B121" s="247">
        <f>SUM(B118:B120)</f>
        <v>3265.6320000000001</v>
      </c>
      <c r="C121" s="59"/>
      <c r="D121" s="247"/>
      <c r="E121" s="59">
        <f>SUM(E118:E120)</f>
        <v>56249.764000000003</v>
      </c>
      <c r="H121" s="59"/>
      <c r="I121" s="59"/>
      <c r="J121" s="59"/>
      <c r="K121" s="59">
        <f>E121/B121*100</f>
        <v>1722.4771192834958</v>
      </c>
    </row>
    <row r="122" spans="1:14" x14ac:dyDescent="0.2">
      <c r="B122" s="248"/>
      <c r="D122" s="248"/>
    </row>
    <row r="123" spans="1:14" ht="15.75" x14ac:dyDescent="0.25">
      <c r="A123" s="273" t="s">
        <v>270</v>
      </c>
      <c r="B123" s="296"/>
      <c r="C123" s="205"/>
      <c r="D123" s="296"/>
      <c r="E123" s="205"/>
      <c r="F123" s="205"/>
      <c r="G123" s="205"/>
      <c r="H123" s="205"/>
      <c r="I123" s="205"/>
      <c r="J123" s="274"/>
    </row>
    <row r="124" spans="1:14" ht="15.75" x14ac:dyDescent="0.25">
      <c r="A124" s="218" t="s">
        <v>273</v>
      </c>
      <c r="B124" s="255"/>
      <c r="C124" s="124"/>
      <c r="D124" s="255"/>
      <c r="E124" s="124"/>
      <c r="F124" s="124"/>
      <c r="G124" s="124"/>
      <c r="H124" s="124"/>
      <c r="I124" s="124"/>
      <c r="J124" s="275"/>
    </row>
    <row r="125" spans="1:14" x14ac:dyDescent="0.2">
      <c r="A125" s="168" t="s">
        <v>77</v>
      </c>
      <c r="B125" s="255">
        <f>+'[3]Summary Category RPW Data'!$F$130/1000</f>
        <v>1036466.001</v>
      </c>
      <c r="C125" s="124"/>
      <c r="D125" s="255">
        <f>+'[3]Summary Category RPW Data'!$D$130/1000</f>
        <v>214643.06899999999</v>
      </c>
      <c r="E125" s="124"/>
      <c r="F125" s="84">
        <f>D125+E125</f>
        <v>214643.06899999999</v>
      </c>
      <c r="G125" s="124"/>
      <c r="H125" s="84">
        <f>+[4]CS21!$K$29</f>
        <v>93118.797999999995</v>
      </c>
      <c r="I125" s="124"/>
      <c r="J125" s="276">
        <f>F125-H125</f>
        <v>121524.27099999999</v>
      </c>
    </row>
    <row r="126" spans="1:14" x14ac:dyDescent="0.2">
      <c r="A126" s="168" t="s">
        <v>71</v>
      </c>
      <c r="B126" s="255">
        <v>0</v>
      </c>
      <c r="C126" s="124"/>
      <c r="D126" s="255">
        <v>0</v>
      </c>
      <c r="E126" s="255"/>
      <c r="F126" s="255">
        <f>D126+E126</f>
        <v>0</v>
      </c>
      <c r="G126" s="255"/>
      <c r="H126" s="255">
        <v>0</v>
      </c>
      <c r="I126" s="255"/>
      <c r="J126" s="433">
        <f>F126-H126</f>
        <v>0</v>
      </c>
    </row>
    <row r="127" spans="1:14" ht="15.75" x14ac:dyDescent="0.25">
      <c r="A127" s="219" t="s">
        <v>271</v>
      </c>
      <c r="B127" s="256">
        <f>SUM(B125:B126)</f>
        <v>1036466.001</v>
      </c>
      <c r="C127" s="124"/>
      <c r="D127" s="256">
        <f>SUM(D125:D126)</f>
        <v>214643.06899999999</v>
      </c>
      <c r="E127" s="124"/>
      <c r="F127" s="139">
        <f>SUM(F125:F126)</f>
        <v>214643.06899999999</v>
      </c>
      <c r="G127" s="124"/>
      <c r="H127" s="139">
        <f>SUM(H125:H126)</f>
        <v>93118.797999999995</v>
      </c>
      <c r="I127" s="124"/>
      <c r="J127" s="277">
        <f>SUM(J125:J126)</f>
        <v>121524.27099999999</v>
      </c>
    </row>
    <row r="128" spans="1:14" x14ac:dyDescent="0.2">
      <c r="A128" s="220" t="s">
        <v>272</v>
      </c>
      <c r="B128" s="255">
        <v>0</v>
      </c>
      <c r="C128" s="124"/>
      <c r="D128" s="255">
        <v>0</v>
      </c>
      <c r="E128" s="255"/>
      <c r="F128" s="255">
        <f>D128+E128</f>
        <v>0</v>
      </c>
      <c r="G128" s="255"/>
      <c r="H128" s="255">
        <v>0</v>
      </c>
      <c r="I128" s="255"/>
      <c r="J128" s="433">
        <f>F128-H128</f>
        <v>0</v>
      </c>
    </row>
    <row r="129" spans="1:10" ht="15.75" x14ac:dyDescent="0.25">
      <c r="A129" s="278" t="s">
        <v>274</v>
      </c>
      <c r="B129" s="297">
        <f>B127+B128</f>
        <v>1036466.001</v>
      </c>
      <c r="C129" s="143"/>
      <c r="D129" s="297">
        <f>D127+D128</f>
        <v>214643.06899999999</v>
      </c>
      <c r="E129" s="143"/>
      <c r="F129" s="206">
        <f>F127+F128</f>
        <v>214643.06899999999</v>
      </c>
      <c r="G129" s="143"/>
      <c r="H129" s="206">
        <f>H127+H128</f>
        <v>93118.797999999995</v>
      </c>
      <c r="I129" s="143"/>
      <c r="J129" s="279">
        <f>J127+J128</f>
        <v>121524.27099999999</v>
      </c>
    </row>
    <row r="130" spans="1:10" x14ac:dyDescent="0.2">
      <c r="B130" s="248"/>
      <c r="D130" s="248"/>
    </row>
    <row r="131" spans="1:10" x14ac:dyDescent="0.2">
      <c r="B131" s="248"/>
      <c r="D131" s="248"/>
    </row>
    <row r="132" spans="1:10" ht="15.75" x14ac:dyDescent="0.25">
      <c r="A132" s="218"/>
      <c r="D132" s="248"/>
    </row>
    <row r="133" spans="1:10" ht="15.75" x14ac:dyDescent="0.25">
      <c r="A133" s="168"/>
      <c r="B133" s="59"/>
      <c r="H133" s="59"/>
    </row>
    <row r="134" spans="1:10" ht="15.75" x14ac:dyDescent="0.25">
      <c r="A134" s="168"/>
      <c r="B134" s="59"/>
      <c r="H134" s="59"/>
    </row>
    <row r="135" spans="1:10" ht="15.75" x14ac:dyDescent="0.25">
      <c r="A135" s="219"/>
      <c r="B135" s="73"/>
      <c r="H135" s="73"/>
    </row>
    <row r="136" spans="1:10" ht="15.75" x14ac:dyDescent="0.25">
      <c r="A136" s="220"/>
      <c r="B136" s="59"/>
      <c r="H136" s="59"/>
    </row>
  </sheetData>
  <phoneticPr fontId="19" type="noConversion"/>
  <printOptions horizontalCentered="1" headings="1" gridLines="1"/>
  <pageMargins left="0.25" right="0.25" top="0.5" bottom="0.25" header="0.5" footer="0.5"/>
  <pageSetup scale="50" orientation="landscape" r:id="rId1"/>
  <headerFooter alignWithMargins="0"/>
  <rowBreaks count="1" manualBreakCount="1">
    <brk id="69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O39"/>
  <sheetViews>
    <sheetView zoomScale="85" zoomScaleNormal="85" workbookViewId="0">
      <selection activeCell="H16" sqref="H16"/>
    </sheetView>
  </sheetViews>
  <sheetFormatPr defaultColWidth="8.85546875" defaultRowHeight="15" x14ac:dyDescent="0.2"/>
  <cols>
    <col min="1" max="1" width="60.42578125" style="1" customWidth="1"/>
    <col min="2" max="2" width="18.5703125" style="1" bestFit="1" customWidth="1"/>
    <col min="3" max="3" width="9.28515625" style="1" bestFit="1" customWidth="1"/>
    <col min="4" max="4" width="18.5703125" style="1" bestFit="1" customWidth="1"/>
    <col min="5" max="6" width="17.42578125" style="1" customWidth="1"/>
    <col min="7" max="7" width="9.28515625" style="1" bestFit="1" customWidth="1"/>
    <col min="8" max="8" width="19.85546875" style="1" customWidth="1"/>
    <col min="9" max="9" width="8.7109375" style="1" customWidth="1"/>
    <col min="10" max="10" width="17.28515625" style="1" bestFit="1" customWidth="1"/>
    <col min="11" max="11" width="9.85546875" style="1" bestFit="1" customWidth="1"/>
    <col min="12" max="12" width="10.42578125" style="1" bestFit="1" customWidth="1"/>
    <col min="13" max="13" width="17.42578125" style="1" bestFit="1" customWidth="1"/>
    <col min="14" max="14" width="11.42578125" style="1" bestFit="1" customWidth="1"/>
    <col min="15" max="16384" width="8.85546875" style="1"/>
  </cols>
  <sheetData>
    <row r="1" spans="1:14" ht="15.75" x14ac:dyDescent="0.25">
      <c r="A1" s="60" t="str">
        <f>+Financial_Results!A1</f>
        <v>2013 ACD</v>
      </c>
      <c r="B1" s="11"/>
      <c r="C1" s="11"/>
      <c r="D1" s="14"/>
      <c r="E1" s="14"/>
      <c r="F1" s="14"/>
      <c r="G1" s="14"/>
      <c r="H1" s="14"/>
      <c r="I1" s="14"/>
      <c r="J1" s="14"/>
    </row>
    <row r="2" spans="1:14" ht="15.75" x14ac:dyDescent="0.25">
      <c r="A2" s="15">
        <f ca="1">NOW()</f>
        <v>41706.557639120372</v>
      </c>
      <c r="B2" s="11"/>
      <c r="C2" s="11"/>
      <c r="D2" s="14"/>
      <c r="E2" s="14"/>
      <c r="F2" s="14"/>
      <c r="G2" s="14"/>
      <c r="H2" s="14"/>
      <c r="I2" s="14"/>
      <c r="J2" s="14"/>
    </row>
    <row r="3" spans="1:14" ht="15.75" x14ac:dyDescent="0.25">
      <c r="A3" s="2"/>
      <c r="B3" s="16" t="s">
        <v>321</v>
      </c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x14ac:dyDescent="0.25">
      <c r="A4" s="2"/>
      <c r="B4" s="18" t="s">
        <v>184</v>
      </c>
      <c r="C4" s="1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5.75" x14ac:dyDescent="0.25">
      <c r="A5" s="19"/>
      <c r="B5" s="18" t="s">
        <v>322</v>
      </c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5.75" x14ac:dyDescent="0.25">
      <c r="A6" s="19"/>
      <c r="B6" s="20"/>
      <c r="C6" s="20"/>
      <c r="D6" s="4"/>
      <c r="E6" s="4"/>
      <c r="F6" s="4"/>
      <c r="G6" s="4"/>
      <c r="H6" s="4"/>
      <c r="I6" s="4"/>
      <c r="J6" s="7" t="s">
        <v>13</v>
      </c>
      <c r="K6" s="19"/>
      <c r="L6" s="6"/>
      <c r="M6" s="7" t="s">
        <v>13</v>
      </c>
      <c r="N6" s="6"/>
    </row>
    <row r="7" spans="1:14" ht="15.75" x14ac:dyDescent="0.25">
      <c r="D7" s="21" t="s">
        <v>84</v>
      </c>
      <c r="E7" s="21"/>
      <c r="F7" s="8" t="s">
        <v>12</v>
      </c>
      <c r="G7" s="8"/>
      <c r="H7" s="21" t="s">
        <v>14</v>
      </c>
      <c r="I7" s="21"/>
      <c r="J7" s="7" t="s">
        <v>0</v>
      </c>
      <c r="L7" s="6"/>
      <c r="M7" s="7" t="s">
        <v>0</v>
      </c>
      <c r="N7" s="6"/>
    </row>
    <row r="8" spans="1:14" ht="15.75" x14ac:dyDescent="0.25">
      <c r="B8" s="8" t="s">
        <v>2</v>
      </c>
      <c r="C8" s="8" t="s">
        <v>4</v>
      </c>
      <c r="D8" s="8" t="s">
        <v>3</v>
      </c>
      <c r="E8" s="8" t="s">
        <v>85</v>
      </c>
      <c r="F8" s="8" t="s">
        <v>3</v>
      </c>
      <c r="G8" s="8" t="s">
        <v>4</v>
      </c>
      <c r="H8" s="8" t="s">
        <v>1</v>
      </c>
      <c r="I8" s="8" t="s">
        <v>4</v>
      </c>
      <c r="J8" s="7" t="s">
        <v>1</v>
      </c>
      <c r="K8" s="8" t="s">
        <v>15</v>
      </c>
      <c r="L8" s="7" t="s">
        <v>16</v>
      </c>
      <c r="M8" s="7" t="s">
        <v>16</v>
      </c>
      <c r="N8" s="7" t="s">
        <v>1</v>
      </c>
    </row>
    <row r="9" spans="1:14" ht="15.75" x14ac:dyDescent="0.25">
      <c r="A9" s="8" t="s">
        <v>86</v>
      </c>
      <c r="B9" s="22" t="s">
        <v>5</v>
      </c>
      <c r="C9" s="10" t="s">
        <v>7</v>
      </c>
      <c r="D9" s="22" t="s">
        <v>5</v>
      </c>
      <c r="E9" s="22" t="s">
        <v>5</v>
      </c>
      <c r="F9" s="22" t="s">
        <v>5</v>
      </c>
      <c r="G9" s="10" t="s">
        <v>7</v>
      </c>
      <c r="H9" s="22" t="s">
        <v>5</v>
      </c>
      <c r="I9" s="10" t="s">
        <v>7</v>
      </c>
      <c r="J9" s="9" t="s">
        <v>6</v>
      </c>
      <c r="K9" s="10" t="s">
        <v>17</v>
      </c>
      <c r="L9" s="9" t="s">
        <v>17</v>
      </c>
      <c r="M9" s="9" t="s">
        <v>17</v>
      </c>
      <c r="N9" s="9" t="s">
        <v>18</v>
      </c>
    </row>
    <row r="10" spans="1:14" ht="15.75" x14ac:dyDescent="0.25">
      <c r="A10" s="140" t="s">
        <v>352</v>
      </c>
      <c r="B10" s="23"/>
      <c r="C10" s="23"/>
      <c r="D10" s="23"/>
      <c r="E10" s="23"/>
      <c r="F10" s="23"/>
      <c r="G10" s="23"/>
      <c r="H10" s="23"/>
      <c r="I10" s="23"/>
      <c r="J10" s="30"/>
      <c r="K10" s="24"/>
      <c r="L10" s="30"/>
      <c r="M10" s="30"/>
      <c r="N10" s="30"/>
    </row>
    <row r="11" spans="1:14" ht="15.75" x14ac:dyDescent="0.25">
      <c r="A11" s="5" t="s">
        <v>184</v>
      </c>
    </row>
    <row r="13" spans="1:14" x14ac:dyDescent="0.2">
      <c r="A13" s="1" t="s">
        <v>31</v>
      </c>
      <c r="B13" s="346">
        <f>+B25</f>
        <v>603253.98199999996</v>
      </c>
      <c r="C13" s="352">
        <f>+B13/B15</f>
        <v>9.4866566942834921E-2</v>
      </c>
      <c r="D13" s="268">
        <f>+D25</f>
        <v>65380.442000000003</v>
      </c>
      <c r="E13" s="268">
        <f>+[5]PER!$I$9/1000</f>
        <v>630.89416587007725</v>
      </c>
      <c r="F13" s="346">
        <f>+D13+E13</f>
        <v>66011.336165870074</v>
      </c>
      <c r="G13" s="352">
        <f>+F13/F15</f>
        <v>3.9809898769282065E-2</v>
      </c>
      <c r="H13" s="346">
        <f>+H25</f>
        <v>86970.060366374993</v>
      </c>
      <c r="I13" s="352">
        <f>+H13/H15</f>
        <v>3.9912422196637529E-2</v>
      </c>
      <c r="J13" s="268">
        <f>+F13-H13</f>
        <v>-20958.724200504919</v>
      </c>
      <c r="K13" s="268">
        <f>+F13/B13*100</f>
        <v>10.942544622253331</v>
      </c>
      <c r="L13" s="268">
        <f>+H13/B13*100</f>
        <v>14.416823255445166</v>
      </c>
      <c r="M13" s="268">
        <f>+J13/B13*100</f>
        <v>-3.4742786331918349</v>
      </c>
      <c r="N13" s="355">
        <f>+F13/H13</f>
        <v>0.75901219210136206</v>
      </c>
    </row>
    <row r="14" spans="1:14" ht="15.75" thickBot="1" x14ac:dyDescent="0.25">
      <c r="A14" s="347" t="s">
        <v>35</v>
      </c>
      <c r="B14" s="348">
        <f>+B30</f>
        <v>5755719.4840000002</v>
      </c>
      <c r="C14" s="353">
        <f>+B14/B15</f>
        <v>0.90513343305716509</v>
      </c>
      <c r="D14" s="349">
        <f>+D30</f>
        <v>1586133.105</v>
      </c>
      <c r="E14" s="349">
        <f>+[5]PER!$I$10/1000</f>
        <v>6019.4378341299243</v>
      </c>
      <c r="F14" s="348">
        <f>+D14+E14</f>
        <v>1592152.5428341299</v>
      </c>
      <c r="G14" s="353">
        <f>+F14/F15</f>
        <v>0.96019010123071791</v>
      </c>
      <c r="H14" s="348">
        <f>+H30</f>
        <v>2092052.2985848663</v>
      </c>
      <c r="I14" s="353">
        <f>+H14/H15</f>
        <v>0.96008757780336251</v>
      </c>
      <c r="J14" s="349">
        <f>+F14-H14</f>
        <v>-499899.75575073645</v>
      </c>
      <c r="K14" s="349">
        <f>+F14/B14*100</f>
        <v>27.662094152782547</v>
      </c>
      <c r="L14" s="349">
        <f>+H14/B14*100</f>
        <v>36.347363772686357</v>
      </c>
      <c r="M14" s="349">
        <f>+J14/B14*100</f>
        <v>-8.6852696199038117</v>
      </c>
      <c r="N14" s="356">
        <f>+F14/H14</f>
        <v>0.76104815539798631</v>
      </c>
    </row>
    <row r="15" spans="1:14" ht="16.5" thickTop="1" x14ac:dyDescent="0.25">
      <c r="A15" s="5" t="s">
        <v>36</v>
      </c>
      <c r="B15" s="350">
        <f>+B13+B14</f>
        <v>6358973.466</v>
      </c>
      <c r="C15" s="354">
        <f>+C13+C14</f>
        <v>1</v>
      </c>
      <c r="D15" s="351">
        <f>+D13+D14</f>
        <v>1651513.547</v>
      </c>
      <c r="E15" s="351">
        <f>+E13+E14</f>
        <v>6650.3320000000012</v>
      </c>
      <c r="F15" s="350">
        <f>+F13+F14</f>
        <v>1658163.879</v>
      </c>
      <c r="G15" s="354">
        <f>+G14+G13</f>
        <v>1</v>
      </c>
      <c r="H15" s="350">
        <f>+H14+H13</f>
        <v>2179022.3589512412</v>
      </c>
      <c r="I15" s="354">
        <f>+I14+I13</f>
        <v>1</v>
      </c>
      <c r="J15" s="351">
        <f>+J13+J14</f>
        <v>-520858.4799512414</v>
      </c>
      <c r="K15" s="351">
        <f>+F15/B15*100</f>
        <v>26.075967887990554</v>
      </c>
      <c r="L15" s="351">
        <f>+H15/B15*100</f>
        <v>34.26688868261494</v>
      </c>
      <c r="M15" s="351">
        <f>+J15/B15*100</f>
        <v>-8.1909207946243914</v>
      </c>
      <c r="N15" s="13">
        <f>+F15/H15</f>
        <v>0.76096689517131466</v>
      </c>
    </row>
    <row r="16" spans="1:14" x14ac:dyDescent="0.2">
      <c r="A16" s="357" t="s">
        <v>393</v>
      </c>
      <c r="B16" s="360">
        <f>+'[3]PRC RPW'!$G$65-B15</f>
        <v>0</v>
      </c>
      <c r="C16" s="358"/>
      <c r="D16" s="358"/>
      <c r="E16" s="358"/>
      <c r="F16" s="360">
        <f>+'[3]PRC RPW'!$B$65-F15</f>
        <v>0</v>
      </c>
      <c r="G16" s="358"/>
      <c r="H16" s="359">
        <f>+[8]Cost1!$D$59*1000-H15</f>
        <v>0</v>
      </c>
      <c r="I16" s="358"/>
      <c r="J16" s="358"/>
      <c r="K16" s="358"/>
      <c r="L16" s="358"/>
      <c r="M16" s="358"/>
      <c r="N16" s="358"/>
    </row>
    <row r="17" spans="1:15" x14ac:dyDescent="0.2">
      <c r="A17" s="357"/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</row>
    <row r="23" spans="1:15" ht="15.75" x14ac:dyDescent="0.25">
      <c r="A23" s="8" t="s">
        <v>336</v>
      </c>
    </row>
    <row r="24" spans="1:15" ht="15.75" x14ac:dyDescent="0.25">
      <c r="A24" s="31" t="s">
        <v>30</v>
      </c>
    </row>
    <row r="25" spans="1:15" s="117" customFormat="1" x14ac:dyDescent="0.2">
      <c r="A25" s="130" t="s">
        <v>31</v>
      </c>
      <c r="B25" s="81">
        <f>+'[3]Summary Category RPW Data'!$E$138/1000</f>
        <v>603253.98199999996</v>
      </c>
      <c r="C25" s="89">
        <f>B25/B$33</f>
        <v>9.4866566942834921E-2</v>
      </c>
      <c r="D25" s="81">
        <f>+'[3]Summary Category RPW Data'!$C$138/1000</f>
        <v>65380.442000000003</v>
      </c>
      <c r="E25" s="81"/>
      <c r="F25" s="81">
        <f>D25+E25</f>
        <v>65380.442000000003</v>
      </c>
      <c r="G25" s="89">
        <f>F25/F$33</f>
        <v>3.9429421197758469E-2</v>
      </c>
      <c r="H25" s="81">
        <f>+[4]CS21!$K$32</f>
        <v>86970.060366374993</v>
      </c>
      <c r="I25" s="89">
        <f>H25/H$33</f>
        <v>3.9912422196637529E-2</v>
      </c>
      <c r="J25" s="81">
        <f>F25-H25</f>
        <v>-21589.618366374991</v>
      </c>
      <c r="K25" s="81">
        <f>F25/B25*100</f>
        <v>10.837962773696205</v>
      </c>
      <c r="L25" s="81">
        <f>H25/B25*100</f>
        <v>14.416823255445166</v>
      </c>
      <c r="M25" s="145">
        <f>J25/B25*100</f>
        <v>-3.5788604817489613</v>
      </c>
      <c r="N25" s="82">
        <f>F25/H25</f>
        <v>0.75175803862357526</v>
      </c>
      <c r="O25" s="63"/>
    </row>
    <row r="26" spans="1:15" s="63" customFormat="1" ht="15.75" x14ac:dyDescent="0.25">
      <c r="A26" s="134" t="s">
        <v>185</v>
      </c>
      <c r="B26" s="81"/>
      <c r="C26" s="81"/>
      <c r="D26" s="81"/>
      <c r="E26" s="81"/>
      <c r="F26" s="81"/>
      <c r="G26" s="81"/>
      <c r="I26" s="81"/>
      <c r="M26" s="83"/>
      <c r="N26" s="83"/>
    </row>
    <row r="27" spans="1:15" s="63" customFormat="1" x14ac:dyDescent="0.2">
      <c r="A27" s="120" t="s">
        <v>32</v>
      </c>
      <c r="B27" s="81">
        <f>+'[3]Summary Category RPW Data'!$E139/1000</f>
        <v>4279517.7410000004</v>
      </c>
      <c r="C27" s="89">
        <f>B27/B$33</f>
        <v>0.67298877151817327</v>
      </c>
      <c r="D27" s="81">
        <f>+'[3]Summary Category RPW Data'!$C139/1000</f>
        <v>1272008.4410000001</v>
      </c>
      <c r="E27" s="81"/>
      <c r="F27" s="81">
        <f>D27+E27</f>
        <v>1272008.4410000001</v>
      </c>
      <c r="G27" s="89">
        <f>F27/F$33</f>
        <v>0.76711865281199998</v>
      </c>
      <c r="I27" s="89">
        <f>H27/H$33</f>
        <v>0</v>
      </c>
      <c r="M27" s="83"/>
      <c r="N27" s="83"/>
    </row>
    <row r="28" spans="1:15" s="63" customFormat="1" x14ac:dyDescent="0.2">
      <c r="A28" s="120" t="s">
        <v>33</v>
      </c>
      <c r="B28" s="81">
        <f>+'[3]Summary Category RPW Data'!$E140/1000</f>
        <v>1386978.916</v>
      </c>
      <c r="C28" s="89">
        <f>B28/B$33</f>
        <v>0.21811365048397577</v>
      </c>
      <c r="D28" s="81">
        <f>+'[3]Summary Category RPW Data'!$C140/1000</f>
        <v>291307.93599999999</v>
      </c>
      <c r="E28" s="81"/>
      <c r="F28" s="81">
        <f>D28+E28</f>
        <v>291307.93599999999</v>
      </c>
      <c r="G28" s="89">
        <f>F28/F$33</f>
        <v>0.17568102869040966</v>
      </c>
      <c r="I28" s="89">
        <f>H28/H$33</f>
        <v>0</v>
      </c>
      <c r="M28" s="83"/>
      <c r="N28" s="83"/>
    </row>
    <row r="29" spans="1:15" s="63" customFormat="1" x14ac:dyDescent="0.2">
      <c r="A29" s="120" t="s">
        <v>34</v>
      </c>
      <c r="B29" s="81">
        <f>+'[3]Summary Category RPW Data'!$E141/1000</f>
        <v>89222.827000000005</v>
      </c>
      <c r="C29" s="89">
        <f>B29/B$33</f>
        <v>1.4031011055016094E-2</v>
      </c>
      <c r="D29" s="81">
        <f>+'[3]Summary Category RPW Data'!$C141/1000</f>
        <v>22816.727999999999</v>
      </c>
      <c r="E29" s="81"/>
      <c r="F29" s="81">
        <f>D29+E29</f>
        <v>22816.727999999999</v>
      </c>
      <c r="G29" s="89">
        <f>F29/F$33</f>
        <v>1.3760237024195845E-2</v>
      </c>
      <c r="I29" s="89">
        <f>H29/H$33</f>
        <v>0</v>
      </c>
      <c r="M29" s="83"/>
      <c r="N29" s="83"/>
    </row>
    <row r="30" spans="1:15" s="117" customFormat="1" ht="15.75" x14ac:dyDescent="0.25">
      <c r="A30" s="134" t="s">
        <v>186</v>
      </c>
      <c r="B30" s="59">
        <f>SUM(B27:B29)</f>
        <v>5755719.4840000002</v>
      </c>
      <c r="C30" s="92">
        <f>B30/B$33</f>
        <v>0.90513343305716509</v>
      </c>
      <c r="D30" s="59">
        <f>SUM(D27:D29)</f>
        <v>1586133.105</v>
      </c>
      <c r="E30" s="59"/>
      <c r="F30" s="59">
        <f>SUM(F27:F29)</f>
        <v>1586133.105</v>
      </c>
      <c r="G30" s="92">
        <f>F30/F$33</f>
        <v>0.95655991852660538</v>
      </c>
      <c r="H30" s="81">
        <f>+[4]CS21!$K$33</f>
        <v>2092052.2985848663</v>
      </c>
      <c r="I30" s="92">
        <f>H30/H$33</f>
        <v>0.96008757780336251</v>
      </c>
      <c r="J30" s="59">
        <f>F30-H30</f>
        <v>-505919.19358486636</v>
      </c>
      <c r="K30" s="59">
        <f>F30/B30*100</f>
        <v>27.557512304225423</v>
      </c>
      <c r="L30" s="59">
        <f>H30/B30*100</f>
        <v>36.347363772686357</v>
      </c>
      <c r="M30" s="146">
        <f>J30/B30*100</f>
        <v>-8.7898514684609381</v>
      </c>
      <c r="N30" s="96">
        <f>F30/H30</f>
        <v>0.75817086698688796</v>
      </c>
      <c r="O30" s="63"/>
    </row>
    <row r="31" spans="1:15" s="117" customFormat="1" ht="15.75" x14ac:dyDescent="0.25">
      <c r="A31" s="27" t="s">
        <v>265</v>
      </c>
      <c r="B31" s="59">
        <f>B25+B30</f>
        <v>6358973.466</v>
      </c>
      <c r="C31" s="92">
        <f>B31/B$33</f>
        <v>1</v>
      </c>
      <c r="D31" s="59">
        <f>D25+D30</f>
        <v>1651513.547</v>
      </c>
      <c r="E31" s="59"/>
      <c r="F31" s="59">
        <f>F25+F30</f>
        <v>1651513.547</v>
      </c>
      <c r="G31" s="92">
        <f>F31/F$33</f>
        <v>0.99598933972436388</v>
      </c>
      <c r="H31" s="59">
        <f>H25+H30</f>
        <v>2179022.3589512412</v>
      </c>
      <c r="I31" s="92">
        <f>H31/H$33</f>
        <v>1</v>
      </c>
      <c r="J31" s="59">
        <f>J25+J30</f>
        <v>-527508.81195124134</v>
      </c>
      <c r="K31" s="59">
        <f>F31/B31*100</f>
        <v>25.97138603943343</v>
      </c>
      <c r="L31" s="59">
        <f>H31/B31*100</f>
        <v>34.26688868261494</v>
      </c>
      <c r="M31" s="146">
        <f>J31/B31*100</f>
        <v>-8.295502643181516</v>
      </c>
      <c r="N31" s="96">
        <f>F31/H31</f>
        <v>0.75791491547377698</v>
      </c>
      <c r="O31" s="63"/>
    </row>
    <row r="32" spans="1:15" s="87" customFormat="1" ht="15.75" x14ac:dyDescent="0.25">
      <c r="A32" s="38" t="s">
        <v>261</v>
      </c>
      <c r="B32" s="59"/>
      <c r="C32" s="92"/>
      <c r="D32" s="81">
        <f>E39</f>
        <v>6650.3320000000003</v>
      </c>
      <c r="E32" s="59"/>
      <c r="F32" s="59">
        <f>D32</f>
        <v>6650.3320000000003</v>
      </c>
      <c r="G32" s="92"/>
      <c r="H32" s="59"/>
      <c r="I32" s="92"/>
      <c r="J32" s="81">
        <f>D32-H32</f>
        <v>6650.3320000000003</v>
      </c>
      <c r="K32" s="59"/>
      <c r="L32" s="59"/>
      <c r="M32" s="146"/>
      <c r="N32" s="96"/>
      <c r="O32" s="63"/>
    </row>
    <row r="33" spans="1:14" s="63" customFormat="1" ht="15.75" x14ac:dyDescent="0.25">
      <c r="A33" s="27" t="s">
        <v>36</v>
      </c>
      <c r="B33" s="59">
        <f>B31+B32</f>
        <v>6358973.466</v>
      </c>
      <c r="C33" s="92">
        <f>B33/B$33</f>
        <v>1</v>
      </c>
      <c r="D33" s="59">
        <f>D31+D32</f>
        <v>1658163.879</v>
      </c>
      <c r="E33" s="59">
        <f>E25+E30</f>
        <v>0</v>
      </c>
      <c r="F33" s="59">
        <f>F31+F32</f>
        <v>1658163.879</v>
      </c>
      <c r="G33" s="92">
        <f>F33/F$33</f>
        <v>1</v>
      </c>
      <c r="H33" s="59">
        <f>H31+H32</f>
        <v>2179022.3589512412</v>
      </c>
      <c r="I33" s="92">
        <f>H33/H$33</f>
        <v>1</v>
      </c>
      <c r="J33" s="59">
        <f>J31+J32</f>
        <v>-520858.47995124134</v>
      </c>
      <c r="K33" s="59">
        <f>F33/B33*100</f>
        <v>26.075967887990554</v>
      </c>
      <c r="L33" s="59">
        <f>H33/B33*100</f>
        <v>34.26688868261494</v>
      </c>
      <c r="M33" s="146">
        <f>J33/B33*100</f>
        <v>-8.1909207946243896</v>
      </c>
      <c r="N33" s="96">
        <f>F33/H33</f>
        <v>0.76096689517131466</v>
      </c>
    </row>
    <row r="34" spans="1:14" s="63" customFormat="1" ht="15.75" x14ac:dyDescent="0.25">
      <c r="A34" s="259" t="s">
        <v>300</v>
      </c>
      <c r="B34" s="262">
        <f>+'[3]PRC RPW'!$G$65</f>
        <v>6358973.466</v>
      </c>
      <c r="C34" s="259"/>
      <c r="D34" s="262">
        <f>+'[3]PRC RPW'!$B$65</f>
        <v>1658163.879</v>
      </c>
      <c r="E34" s="213"/>
      <c r="F34" s="213"/>
      <c r="G34" s="213"/>
      <c r="H34" s="262">
        <f>+[8]Cost1!$D$59*1000</f>
        <v>2179022.3589512412</v>
      </c>
      <c r="I34" s="271"/>
      <c r="J34" s="262">
        <f>H33+J33</f>
        <v>1658163.879</v>
      </c>
      <c r="K34" s="213"/>
      <c r="L34" s="213"/>
      <c r="M34" s="213"/>
    </row>
    <row r="35" spans="1:14" s="63" customFormat="1" ht="15.75" x14ac:dyDescent="0.25">
      <c r="A35" s="143"/>
      <c r="B35" s="358">
        <f>+B33-B34</f>
        <v>0</v>
      </c>
      <c r="C35" s="358"/>
      <c r="D35" s="358">
        <f>+D33-D34</f>
        <v>0</v>
      </c>
      <c r="E35" s="358"/>
      <c r="F35" s="358"/>
      <c r="G35" s="358"/>
      <c r="H35" s="358">
        <f>+H33-H34</f>
        <v>0</v>
      </c>
      <c r="I35" s="83"/>
      <c r="J35" s="59"/>
    </row>
    <row r="36" spans="1:14" s="63" customFormat="1" ht="15.75" x14ac:dyDescent="0.25">
      <c r="A36" s="140" t="s">
        <v>187</v>
      </c>
      <c r="H36" s="83"/>
      <c r="I36" s="83"/>
      <c r="J36" s="59"/>
    </row>
    <row r="37" spans="1:14" s="63" customFormat="1" x14ac:dyDescent="0.2">
      <c r="A37" s="38" t="s">
        <v>188</v>
      </c>
      <c r="E37" s="81">
        <f>+'[3]Summary Category RPW Data'!$C$142/1000</f>
        <v>6362.8969999999999</v>
      </c>
      <c r="F37" s="81"/>
      <c r="G37" s="81"/>
    </row>
    <row r="38" spans="1:14" s="63" customFormat="1" x14ac:dyDescent="0.2">
      <c r="A38" s="38" t="s">
        <v>121</v>
      </c>
      <c r="E38" s="81">
        <f>+'[3]Summary Category RPW Data'!$C$143/1000</f>
        <v>287.435</v>
      </c>
      <c r="F38" s="81"/>
      <c r="G38" s="81"/>
    </row>
    <row r="39" spans="1:14" s="63" customFormat="1" ht="15.75" x14ac:dyDescent="0.25">
      <c r="A39" s="27" t="s">
        <v>189</v>
      </c>
      <c r="E39" s="59">
        <f>SUM(E37:E38)</f>
        <v>6650.3320000000003</v>
      </c>
      <c r="F39" s="59"/>
      <c r="G39" s="59"/>
    </row>
  </sheetData>
  <phoneticPr fontId="19" type="noConversion"/>
  <printOptions horizontalCentered="1" headings="1" gridLines="1"/>
  <pageMargins left="0.25" right="0.25" top="0.5" bottom="0.25" header="0.5" footer="0.5"/>
  <pageSetup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pageSetUpPr fitToPage="1"/>
  </sheetPr>
  <dimension ref="A1:O89"/>
  <sheetViews>
    <sheetView topLeftCell="A11" zoomScaleNormal="100" workbookViewId="0">
      <selection activeCell="H24" sqref="H24"/>
    </sheetView>
  </sheetViews>
  <sheetFormatPr defaultColWidth="8.85546875" defaultRowHeight="15" x14ac:dyDescent="0.2"/>
  <cols>
    <col min="1" max="1" width="55.5703125" style="1" bestFit="1" customWidth="1"/>
    <col min="2" max="2" width="18.85546875" style="1" bestFit="1" customWidth="1"/>
    <col min="3" max="3" width="9.28515625" style="1" bestFit="1" customWidth="1"/>
    <col min="4" max="4" width="19" style="1" customWidth="1"/>
    <col min="5" max="5" width="14.140625" style="1" customWidth="1"/>
    <col min="6" max="6" width="17.42578125" style="1" bestFit="1" customWidth="1"/>
    <col min="7" max="7" width="9.28515625" style="1" bestFit="1" customWidth="1"/>
    <col min="8" max="8" width="17.42578125" style="1" bestFit="1" customWidth="1"/>
    <col min="9" max="9" width="9.28515625" style="1" bestFit="1" customWidth="1"/>
    <col min="10" max="10" width="18" style="1" bestFit="1" customWidth="1"/>
    <col min="11" max="11" width="16.85546875" style="1" customWidth="1"/>
    <col min="12" max="12" width="14" style="1" bestFit="1" customWidth="1"/>
    <col min="13" max="13" width="17.42578125" style="1" bestFit="1" customWidth="1"/>
    <col min="14" max="14" width="13.42578125" style="1" bestFit="1" customWidth="1"/>
    <col min="15" max="15" width="9.7109375" style="1" customWidth="1"/>
    <col min="16" max="16384" width="8.85546875" style="1"/>
  </cols>
  <sheetData>
    <row r="1" spans="1:15" ht="15.75" x14ac:dyDescent="0.25">
      <c r="A1" s="60" t="str">
        <f>+Financial_Results!A1</f>
        <v>2013 ACD</v>
      </c>
      <c r="B1" s="5"/>
      <c r="C1" s="5"/>
      <c r="D1" s="5"/>
      <c r="E1" s="5"/>
      <c r="F1" s="14"/>
      <c r="G1" s="14"/>
      <c r="H1" s="14"/>
      <c r="I1" s="14"/>
      <c r="J1" s="14"/>
      <c r="O1" s="63"/>
    </row>
    <row r="2" spans="1:15" ht="15.75" x14ac:dyDescent="0.25">
      <c r="A2" s="15">
        <f ca="1">NOW()</f>
        <v>41706.557639120372</v>
      </c>
      <c r="B2" s="5"/>
      <c r="C2" s="5"/>
      <c r="D2" s="5"/>
      <c r="E2" s="5"/>
      <c r="F2" s="14"/>
      <c r="G2" s="14"/>
      <c r="H2" s="14"/>
      <c r="I2" s="14"/>
      <c r="J2" s="14"/>
    </row>
    <row r="3" spans="1:15" ht="15.75" x14ac:dyDescent="0.25">
      <c r="A3" s="2"/>
      <c r="B3" s="16" t="s">
        <v>321</v>
      </c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7"/>
    </row>
    <row r="4" spans="1:15" ht="15.75" x14ac:dyDescent="0.25">
      <c r="A4" s="2"/>
      <c r="B4" s="18" t="s">
        <v>190</v>
      </c>
      <c r="C4" s="18"/>
      <c r="D4" s="18"/>
      <c r="E4" s="18"/>
      <c r="F4" s="17"/>
      <c r="G4" s="17"/>
      <c r="H4" s="17"/>
      <c r="I4" s="17"/>
      <c r="J4" s="17"/>
      <c r="K4" s="17"/>
      <c r="L4" s="17"/>
      <c r="M4" s="17"/>
      <c r="N4" s="17"/>
    </row>
    <row r="5" spans="1:15" ht="15.75" x14ac:dyDescent="0.25">
      <c r="A5" s="19"/>
      <c r="B5" s="18" t="s">
        <v>322</v>
      </c>
      <c r="C5" s="18"/>
      <c r="D5" s="18"/>
      <c r="E5" s="18"/>
      <c r="F5" s="17"/>
      <c r="G5" s="17"/>
      <c r="H5" s="17"/>
      <c r="I5" s="17"/>
      <c r="J5" s="17"/>
      <c r="K5" s="17"/>
      <c r="L5" s="17"/>
      <c r="M5" s="17"/>
      <c r="N5" s="17"/>
    </row>
    <row r="6" spans="1:15" ht="15.75" x14ac:dyDescent="0.25">
      <c r="A6" s="19"/>
      <c r="B6" s="20"/>
      <c r="C6" s="20"/>
      <c r="D6" s="20"/>
      <c r="E6" s="20"/>
      <c r="F6" s="4"/>
      <c r="G6" s="4"/>
      <c r="H6" s="4"/>
      <c r="I6" s="4"/>
      <c r="J6" s="7" t="s">
        <v>13</v>
      </c>
      <c r="K6" s="19"/>
      <c r="L6" s="6"/>
      <c r="M6" s="7" t="s">
        <v>13</v>
      </c>
      <c r="N6" s="6"/>
    </row>
    <row r="7" spans="1:15" ht="15.75" x14ac:dyDescent="0.25">
      <c r="D7" s="21" t="s">
        <v>84</v>
      </c>
      <c r="E7" s="21"/>
      <c r="F7" s="8" t="s">
        <v>12</v>
      </c>
      <c r="G7" s="8"/>
      <c r="H7" s="21" t="s">
        <v>14</v>
      </c>
      <c r="I7" s="21"/>
      <c r="J7" s="7" t="s">
        <v>0</v>
      </c>
      <c r="L7" s="6"/>
      <c r="M7" s="7" t="s">
        <v>0</v>
      </c>
      <c r="N7" s="6"/>
    </row>
    <row r="8" spans="1:15" ht="15.75" x14ac:dyDescent="0.25">
      <c r="B8" s="8" t="s">
        <v>2</v>
      </c>
      <c r="C8" s="8" t="s">
        <v>4</v>
      </c>
      <c r="D8" s="8" t="s">
        <v>3</v>
      </c>
      <c r="E8" s="8" t="s">
        <v>85</v>
      </c>
      <c r="F8" s="8" t="s">
        <v>3</v>
      </c>
      <c r="G8" s="8" t="s">
        <v>4</v>
      </c>
      <c r="H8" s="8" t="s">
        <v>1</v>
      </c>
      <c r="I8" s="8" t="s">
        <v>4</v>
      </c>
      <c r="J8" s="7" t="s">
        <v>1</v>
      </c>
      <c r="K8" s="8" t="s">
        <v>15</v>
      </c>
      <c r="L8" s="7" t="s">
        <v>16</v>
      </c>
      <c r="M8" s="7" t="s">
        <v>16</v>
      </c>
      <c r="N8" s="7" t="s">
        <v>1</v>
      </c>
    </row>
    <row r="9" spans="1:15" ht="15.75" x14ac:dyDescent="0.25">
      <c r="A9" s="8" t="s">
        <v>86</v>
      </c>
      <c r="B9" s="22" t="s">
        <v>5</v>
      </c>
      <c r="C9" s="10" t="s">
        <v>7</v>
      </c>
      <c r="D9" s="22" t="s">
        <v>5</v>
      </c>
      <c r="E9" s="22" t="s">
        <v>5</v>
      </c>
      <c r="F9" s="22" t="s">
        <v>5</v>
      </c>
      <c r="G9" s="10" t="s">
        <v>7</v>
      </c>
      <c r="H9" s="22" t="s">
        <v>5</v>
      </c>
      <c r="I9" s="10" t="s">
        <v>7</v>
      </c>
      <c r="J9" s="9" t="s">
        <v>6</v>
      </c>
      <c r="K9" s="10" t="s">
        <v>17</v>
      </c>
      <c r="L9" s="9" t="s">
        <v>17</v>
      </c>
      <c r="M9" s="9" t="s">
        <v>17</v>
      </c>
      <c r="N9" s="9" t="s">
        <v>18</v>
      </c>
    </row>
    <row r="10" spans="1:15" ht="15.75" x14ac:dyDescent="0.25">
      <c r="A10" s="140" t="s">
        <v>352</v>
      </c>
      <c r="B10" s="23"/>
      <c r="C10" s="24"/>
      <c r="D10" s="23"/>
      <c r="E10" s="23"/>
      <c r="F10" s="23"/>
      <c r="G10" s="24"/>
      <c r="H10" s="23"/>
      <c r="I10" s="24"/>
      <c r="J10" s="30"/>
      <c r="K10" s="24"/>
      <c r="L10" s="30"/>
      <c r="M10" s="30"/>
      <c r="N10" s="30"/>
    </row>
    <row r="11" spans="1:15" ht="15.75" x14ac:dyDescent="0.25">
      <c r="A11" s="147" t="s">
        <v>37</v>
      </c>
      <c r="B11" s="23"/>
      <c r="C11" s="24"/>
      <c r="D11" s="23"/>
      <c r="E11" s="23"/>
      <c r="F11" s="23"/>
      <c r="G11" s="24"/>
      <c r="H11" s="23"/>
      <c r="I11" s="24"/>
      <c r="J11" s="30"/>
      <c r="K11" s="24"/>
      <c r="L11" s="30"/>
      <c r="M11" s="30"/>
      <c r="N11" s="30"/>
    </row>
    <row r="12" spans="1:15" x14ac:dyDescent="0.2">
      <c r="A12" s="38" t="s">
        <v>359</v>
      </c>
      <c r="B12" s="362">
        <f>+'[3]Summary Category RPW Data'!$E$145/1000</f>
        <v>1294.607</v>
      </c>
      <c r="C12" s="366">
        <f>+B12/$B$23</f>
        <v>2.2673317374727136E-3</v>
      </c>
      <c r="D12" s="362">
        <f>+'[3]Summary Category RPW Data'!$C$145/1000</f>
        <v>31538.524000000001</v>
      </c>
      <c r="E12" s="362">
        <f>+[5]PS!$P$11</f>
        <v>0</v>
      </c>
      <c r="F12" s="362">
        <f>+D12+E12</f>
        <v>31538.524000000001</v>
      </c>
      <c r="G12" s="366">
        <f>+F12/$F$23</f>
        <v>2.7768995395086364E-2</v>
      </c>
      <c r="H12" s="362">
        <f>+[4]CS21!$K36</f>
        <v>10303.520161208</v>
      </c>
      <c r="I12" s="366">
        <f>+H12/$H$23</f>
        <v>9.2188751389808178E-3</v>
      </c>
      <c r="J12" s="363">
        <f>+F12-H12</f>
        <v>21235.003838791999</v>
      </c>
      <c r="K12" s="363">
        <f>+F12/B12*100</f>
        <v>2436.1465680318433</v>
      </c>
      <c r="L12" s="363">
        <f>+H12/B12*100</f>
        <v>795.88015213945232</v>
      </c>
      <c r="M12" s="363">
        <f>+J12/B12*100</f>
        <v>1640.2664158923906</v>
      </c>
      <c r="N12" s="364">
        <f>+F12/H12</f>
        <v>3.0609465024138292</v>
      </c>
    </row>
    <row r="13" spans="1:15" x14ac:dyDescent="0.2">
      <c r="A13" s="38" t="s">
        <v>360</v>
      </c>
      <c r="B13" s="362">
        <f>+B36-B12</f>
        <v>28259.692999999999</v>
      </c>
      <c r="C13" s="366">
        <f t="shared" ref="C13:C16" si="0">+B13/$B$23</f>
        <v>4.9493088504955929E-2</v>
      </c>
      <c r="D13" s="362">
        <f>+D36-D12</f>
        <v>307585.27100000001</v>
      </c>
      <c r="E13" s="362">
        <f>+[5]PS!$U12/1000</f>
        <v>210.19000277067377</v>
      </c>
      <c r="F13" s="362">
        <f t="shared" ref="F13:F16" si="1">+D13+E13</f>
        <v>307795.46100277069</v>
      </c>
      <c r="G13" s="366">
        <f t="shared" ref="G13:G16" si="2">+F13/$F$23</f>
        <v>0.27100731598011446</v>
      </c>
      <c r="H13" s="362">
        <f>+[4]CS21!$K37</f>
        <v>330644.26006378152</v>
      </c>
      <c r="I13" s="366">
        <f t="shared" ref="I13:I16" si="3">+H13/$H$23</f>
        <v>0.29583754884324232</v>
      </c>
      <c r="J13" s="363">
        <f t="shared" ref="J13:J16" si="4">+F13-H13</f>
        <v>-22848.799061010825</v>
      </c>
      <c r="K13" s="363">
        <f t="shared" ref="K13:K17" si="5">+F13/B13*100</f>
        <v>1089.1677450380325</v>
      </c>
      <c r="L13" s="363">
        <f t="shared" ref="L13:L17" si="6">+H13/B13*100</f>
        <v>1170.0207078108792</v>
      </c>
      <c r="M13" s="363">
        <f t="shared" ref="M13:M17" si="7">+J13/B13*100</f>
        <v>-80.852962772846908</v>
      </c>
      <c r="N13" s="364">
        <f t="shared" ref="N13:N17" si="8">+F13/H13</f>
        <v>0.93089612668127586</v>
      </c>
    </row>
    <row r="14" spans="1:15" x14ac:dyDescent="0.2">
      <c r="A14" s="38" t="s">
        <v>81</v>
      </c>
      <c r="B14" s="362">
        <f>+B46</f>
        <v>229611.08100000001</v>
      </c>
      <c r="C14" s="366">
        <f t="shared" si="0"/>
        <v>0.40213322747885494</v>
      </c>
      <c r="D14" s="362">
        <f>+D46</f>
        <v>184768.14199999999</v>
      </c>
      <c r="E14" s="362">
        <f>+[5]PS!$U13/1000</f>
        <v>1302.6842142182766</v>
      </c>
      <c r="F14" s="362">
        <f t="shared" si="1"/>
        <v>186070.82621421828</v>
      </c>
      <c r="G14" s="366">
        <f t="shared" si="2"/>
        <v>0.16383138019720081</v>
      </c>
      <c r="H14" s="362">
        <f>+[4]CS21!$K38</f>
        <v>130417.99661986517</v>
      </c>
      <c r="I14" s="366">
        <f t="shared" si="3"/>
        <v>0.11668897696159786</v>
      </c>
      <c r="J14" s="363">
        <f t="shared" si="4"/>
        <v>55652.829594353112</v>
      </c>
      <c r="K14" s="363">
        <f t="shared" si="5"/>
        <v>81.037389573640951</v>
      </c>
      <c r="L14" s="363">
        <f t="shared" si="6"/>
        <v>56.799522066561394</v>
      </c>
      <c r="M14" s="363">
        <f t="shared" si="7"/>
        <v>24.237867507079553</v>
      </c>
      <c r="N14" s="364">
        <f t="shared" si="8"/>
        <v>1.4267266101055573</v>
      </c>
    </row>
    <row r="15" spans="1:15" x14ac:dyDescent="0.2">
      <c r="A15" s="38" t="s">
        <v>82</v>
      </c>
      <c r="B15" s="362">
        <f>+B52</f>
        <v>216386.45499999999</v>
      </c>
      <c r="C15" s="366">
        <f t="shared" si="0"/>
        <v>0.37897205636977949</v>
      </c>
      <c r="D15" s="362">
        <f>+D52</f>
        <v>274587.54800000001</v>
      </c>
      <c r="E15" s="362">
        <f>+[5]PS!$U14/1000</f>
        <v>1243.7079902151468</v>
      </c>
      <c r="F15" s="362">
        <f t="shared" si="1"/>
        <v>275831.25599021517</v>
      </c>
      <c r="G15" s="366">
        <f t="shared" si="2"/>
        <v>0.24286351756389021</v>
      </c>
      <c r="H15" s="362">
        <f>+[4]CS21!$K39</f>
        <v>263130.09077894309</v>
      </c>
      <c r="I15" s="366">
        <f t="shared" si="3"/>
        <v>0.23543055327174359</v>
      </c>
      <c r="J15" s="363">
        <f t="shared" si="4"/>
        <v>12701.165211272077</v>
      </c>
      <c r="K15" s="363">
        <f t="shared" si="5"/>
        <v>127.47159058094242</v>
      </c>
      <c r="L15" s="363">
        <f t="shared" si="6"/>
        <v>121.60192317903775</v>
      </c>
      <c r="M15" s="363">
        <f t="shared" si="7"/>
        <v>5.8696674019046515</v>
      </c>
      <c r="N15" s="364">
        <f t="shared" si="8"/>
        <v>1.0482695277217169</v>
      </c>
    </row>
    <row r="16" spans="1:15" x14ac:dyDescent="0.2">
      <c r="A16" s="38" t="s">
        <v>38</v>
      </c>
      <c r="B16" s="362">
        <f>+B63</f>
        <v>94523.857000000004</v>
      </c>
      <c r="C16" s="366">
        <f t="shared" si="0"/>
        <v>0.16554594631763331</v>
      </c>
      <c r="D16" s="362">
        <f>+D63</f>
        <v>316437.44800000003</v>
      </c>
      <c r="E16" s="362">
        <f>+[5]PS!$U15/1000</f>
        <v>137.16179279590281</v>
      </c>
      <c r="F16" s="362">
        <f t="shared" si="1"/>
        <v>316574.60979279596</v>
      </c>
      <c r="G16" s="366">
        <f t="shared" si="2"/>
        <v>0.27873716859854997</v>
      </c>
      <c r="H16" s="362">
        <f>+[4]CS21!$K40</f>
        <v>372401.92408877786</v>
      </c>
      <c r="I16" s="366">
        <f t="shared" si="3"/>
        <v>0.3331994101022025</v>
      </c>
      <c r="J16" s="363">
        <f t="shared" si="4"/>
        <v>-55827.314295981894</v>
      </c>
      <c r="K16" s="363">
        <f t="shared" si="5"/>
        <v>334.91503609802544</v>
      </c>
      <c r="L16" s="363">
        <f t="shared" si="6"/>
        <v>393.97664876156909</v>
      </c>
      <c r="M16" s="363">
        <f t="shared" si="7"/>
        <v>-59.061612663543649</v>
      </c>
      <c r="N16" s="364">
        <f t="shared" si="8"/>
        <v>0.85008854497037167</v>
      </c>
    </row>
    <row r="17" spans="1:14" s="5" customFormat="1" ht="15.75" x14ac:dyDescent="0.25">
      <c r="A17" s="5" t="s">
        <v>356</v>
      </c>
      <c r="B17" s="361">
        <f>SUM(B12:B16)</f>
        <v>570075.69299999997</v>
      </c>
      <c r="C17" s="367">
        <f>SUM(C12:C16)</f>
        <v>0.99841165040869639</v>
      </c>
      <c r="D17" s="361">
        <f>SUM(D12:D16)</f>
        <v>1114916.933</v>
      </c>
      <c r="E17" s="361">
        <f t="shared" ref="E17:F17" si="9">SUM(E12:E16)</f>
        <v>2893.7440000000001</v>
      </c>
      <c r="F17" s="361">
        <f t="shared" si="9"/>
        <v>1117810.6770000001</v>
      </c>
      <c r="G17" s="367">
        <f t="shared" ref="G17" si="10">SUM(G12:G16)</f>
        <v>0.98420837773484182</v>
      </c>
      <c r="H17" s="361">
        <f t="shared" ref="H17:J17" si="11">SUM(H12:H16)</f>
        <v>1106897.7917125756</v>
      </c>
      <c r="I17" s="367">
        <f t="shared" ref="I17" si="12">SUM(I12:I16)</f>
        <v>0.99037536431776707</v>
      </c>
      <c r="J17" s="361">
        <f t="shared" si="11"/>
        <v>10912.885287424462</v>
      </c>
      <c r="K17" s="368">
        <f t="shared" si="5"/>
        <v>196.08109777801036</v>
      </c>
      <c r="L17" s="368">
        <f t="shared" si="6"/>
        <v>194.1668107067627</v>
      </c>
      <c r="M17" s="368">
        <f t="shared" si="7"/>
        <v>1.9142870712476532</v>
      </c>
      <c r="N17" s="369">
        <f t="shared" si="8"/>
        <v>1.0098589818943811</v>
      </c>
    </row>
    <row r="18" spans="1:14" ht="15.75" x14ac:dyDescent="0.25">
      <c r="A18" s="8"/>
      <c r="B18" s="362"/>
      <c r="C18" s="366"/>
      <c r="D18" s="362"/>
      <c r="E18" s="362"/>
      <c r="F18" s="362"/>
      <c r="G18" s="366"/>
      <c r="H18" s="362"/>
      <c r="I18" s="366"/>
      <c r="J18" s="363"/>
      <c r="K18" s="363"/>
      <c r="L18" s="363"/>
      <c r="M18" s="363"/>
      <c r="N18" s="364"/>
    </row>
    <row r="19" spans="1:14" x14ac:dyDescent="0.2">
      <c r="A19" s="38" t="s">
        <v>39</v>
      </c>
      <c r="B19" s="362">
        <f>+B37</f>
        <v>905.94899999999996</v>
      </c>
      <c r="C19" s="366">
        <f>+B19/B23</f>
        <v>1.5866490141268101E-3</v>
      </c>
      <c r="D19" s="362">
        <f>+D37</f>
        <v>17933.103999999999</v>
      </c>
      <c r="E19" s="362">
        <v>0</v>
      </c>
      <c r="F19" s="362">
        <f>+D19+E19</f>
        <v>17933.103999999999</v>
      </c>
      <c r="G19" s="366">
        <f>+F19/$F$23</f>
        <v>1.5789714268036287E-2</v>
      </c>
      <c r="H19" s="248">
        <f>+H37</f>
        <v>10756.145909557197</v>
      </c>
      <c r="I19" s="366">
        <f>+H19/H23</f>
        <v>9.6238532623244208E-3</v>
      </c>
      <c r="J19" s="363">
        <f>+F19-H19</f>
        <v>7176.9580904428021</v>
      </c>
      <c r="K19" s="363">
        <f>+F19/B19*100</f>
        <v>1979.4827302640656</v>
      </c>
      <c r="L19" s="363">
        <f t="shared" ref="L19:L21" si="13">+H19/B19*100</f>
        <v>1187.2794064077777</v>
      </c>
      <c r="M19" s="363">
        <f t="shared" ref="M19:M21" si="14">+J19/B19*100</f>
        <v>792.20332385628797</v>
      </c>
      <c r="N19" s="364">
        <f t="shared" ref="N19:N21" si="15">+F19/H19</f>
        <v>1.6672425375027531</v>
      </c>
    </row>
    <row r="20" spans="1:14" x14ac:dyDescent="0.2">
      <c r="A20" s="38" t="s">
        <v>259</v>
      </c>
      <c r="B20" s="362">
        <f>+B38</f>
        <v>0.97099999999999997</v>
      </c>
      <c r="C20" s="366">
        <f>+B20/B23</f>
        <v>1.7005771767694789E-6</v>
      </c>
      <c r="D20" s="362">
        <f>+D38</f>
        <v>2.1669999999999998</v>
      </c>
      <c r="E20" s="362">
        <v>0</v>
      </c>
      <c r="F20" s="362">
        <f>+D20+E20</f>
        <v>2.1669999999999998</v>
      </c>
      <c r="G20" s="366">
        <f>+F20/$F$23</f>
        <v>1.9079971219056462E-6</v>
      </c>
      <c r="H20" s="248">
        <f>+H38</f>
        <v>0.87447537583807233</v>
      </c>
      <c r="I20" s="366">
        <f>+H20/H23</f>
        <v>7.8241990851982266E-7</v>
      </c>
      <c r="J20" s="363">
        <f>+F20-H20</f>
        <v>1.2925246241619275</v>
      </c>
      <c r="K20" s="363">
        <f>+F20/B20*100</f>
        <v>223.17198764160659</v>
      </c>
      <c r="L20" s="363">
        <f t="shared" si="13"/>
        <v>90.059256008040407</v>
      </c>
      <c r="M20" s="363">
        <f t="shared" si="14"/>
        <v>133.11273163356617</v>
      </c>
      <c r="N20" s="364">
        <f t="shared" si="15"/>
        <v>2.4780571984925346</v>
      </c>
    </row>
    <row r="21" spans="1:14" s="5" customFormat="1" ht="15.75" x14ac:dyDescent="0.25">
      <c r="A21" s="5" t="s">
        <v>357</v>
      </c>
      <c r="B21" s="361">
        <f>SUM(B19:B20)</f>
        <v>906.92</v>
      </c>
      <c r="C21" s="367">
        <f t="shared" ref="C21:J21" si="16">SUM(C19:C20)</f>
        <v>1.5883495913035796E-3</v>
      </c>
      <c r="D21" s="361">
        <f t="shared" si="16"/>
        <v>17935.271000000001</v>
      </c>
      <c r="E21" s="361">
        <f t="shared" si="16"/>
        <v>0</v>
      </c>
      <c r="F21" s="361">
        <f t="shared" si="16"/>
        <v>17935.271000000001</v>
      </c>
      <c r="G21" s="367">
        <f t="shared" si="16"/>
        <v>1.5791622265158192E-2</v>
      </c>
      <c r="H21" s="361">
        <f t="shared" si="16"/>
        <v>10757.020384933036</v>
      </c>
      <c r="I21" s="367">
        <f t="shared" si="16"/>
        <v>9.6246356822329415E-3</v>
      </c>
      <c r="J21" s="361">
        <f t="shared" si="16"/>
        <v>7178.2506150669642</v>
      </c>
      <c r="K21" s="368">
        <f>+F21/B21*100</f>
        <v>1977.6023243505492</v>
      </c>
      <c r="L21" s="368">
        <f t="shared" si="13"/>
        <v>1186.104660271362</v>
      </c>
      <c r="M21" s="368">
        <f t="shared" si="14"/>
        <v>791.49766407918719</v>
      </c>
      <c r="N21" s="369">
        <f t="shared" si="15"/>
        <v>1.6673084514296614</v>
      </c>
    </row>
    <row r="22" spans="1:14" ht="16.5" thickBot="1" x14ac:dyDescent="0.3">
      <c r="A22" s="375"/>
      <c r="B22" s="376"/>
      <c r="C22" s="375"/>
      <c r="D22" s="376"/>
      <c r="E22" s="376"/>
      <c r="F22" s="376"/>
      <c r="G22" s="377"/>
      <c r="H22" s="376"/>
      <c r="I22" s="377"/>
      <c r="J22" s="378"/>
      <c r="K22" s="375"/>
      <c r="L22" s="378"/>
      <c r="M22" s="378"/>
      <c r="N22" s="377"/>
    </row>
    <row r="23" spans="1:14" s="5" customFormat="1" ht="16.5" thickTop="1" x14ac:dyDescent="0.25">
      <c r="A23" s="25" t="s">
        <v>358</v>
      </c>
      <c r="B23" s="361">
        <f>+B21+B17</f>
        <v>570982.61300000001</v>
      </c>
      <c r="C23" s="365">
        <f t="shared" ref="C23:J23" si="17">+C21+C17</f>
        <v>1</v>
      </c>
      <c r="D23" s="361">
        <f t="shared" si="17"/>
        <v>1132852.2039999999</v>
      </c>
      <c r="E23" s="361">
        <f t="shared" si="17"/>
        <v>2893.7440000000001</v>
      </c>
      <c r="F23" s="361">
        <f t="shared" si="17"/>
        <v>1135745.9480000001</v>
      </c>
      <c r="G23" s="365">
        <f t="shared" si="17"/>
        <v>1</v>
      </c>
      <c r="H23" s="361">
        <f t="shared" si="17"/>
        <v>1117654.8120975087</v>
      </c>
      <c r="I23" s="365">
        <f t="shared" si="17"/>
        <v>1</v>
      </c>
      <c r="J23" s="361">
        <f t="shared" si="17"/>
        <v>18091.135902491427</v>
      </c>
      <c r="K23" s="368">
        <f>+F23/B23*100</f>
        <v>198.91077629013549</v>
      </c>
      <c r="L23" s="368">
        <f>+H23/B23*100</f>
        <v>195.74235478471718</v>
      </c>
      <c r="M23" s="368">
        <f>+J23/B23*100</f>
        <v>3.1684215054183138</v>
      </c>
      <c r="N23" s="369">
        <f>+F23/H23</f>
        <v>1.0161866935181352</v>
      </c>
    </row>
    <row r="24" spans="1:14" s="260" customFormat="1" x14ac:dyDescent="0.2">
      <c r="A24" s="260" t="s">
        <v>393</v>
      </c>
      <c r="B24" s="370">
        <f>+'[3]PRC RPW'!$G$75-B23</f>
        <v>0</v>
      </c>
      <c r="C24" s="371"/>
      <c r="D24" s="372"/>
      <c r="E24" s="372"/>
      <c r="F24" s="370">
        <f>+'[3]PRC RPW'!$B$75-F23</f>
        <v>0</v>
      </c>
      <c r="G24" s="371"/>
      <c r="H24" s="370">
        <f>+[4]CS21!$K$41+'[1]ACR2013 Intl Products"Booked" '!$O$21+'[1]ACR2013 MD IB Intl NSAs'!$AB$69-H23</f>
        <v>0</v>
      </c>
      <c r="I24" s="371"/>
      <c r="J24" s="373"/>
      <c r="K24" s="371"/>
      <c r="L24" s="373"/>
      <c r="M24" s="373"/>
      <c r="N24" s="373"/>
    </row>
    <row r="25" spans="1:14" s="260" customFormat="1" x14ac:dyDescent="0.2">
      <c r="B25" s="370"/>
      <c r="C25" s="371"/>
      <c r="D25" s="372"/>
      <c r="E25" s="372"/>
      <c r="F25" s="374"/>
      <c r="G25" s="371"/>
      <c r="H25" s="374"/>
      <c r="I25" s="371"/>
      <c r="J25" s="373"/>
      <c r="K25" s="371"/>
      <c r="L25" s="373"/>
      <c r="M25" s="373"/>
      <c r="N25" s="373"/>
    </row>
    <row r="26" spans="1:14" ht="15.75" x14ac:dyDescent="0.25">
      <c r="A26" s="8"/>
      <c r="B26" s="23"/>
      <c r="C26" s="24"/>
      <c r="D26" s="23"/>
      <c r="E26" s="23"/>
      <c r="F26" s="23"/>
      <c r="G26" s="24"/>
      <c r="H26" s="23"/>
      <c r="I26" s="24"/>
      <c r="J26" s="30"/>
      <c r="K26" s="24"/>
      <c r="L26" s="30"/>
      <c r="M26" s="30"/>
      <c r="N26" s="30"/>
    </row>
    <row r="27" spans="1:14" ht="15.75" x14ac:dyDescent="0.25">
      <c r="A27" s="8"/>
      <c r="B27" s="23"/>
      <c r="C27" s="24"/>
      <c r="D27" s="23"/>
      <c r="E27" s="23"/>
      <c r="F27" s="23"/>
      <c r="G27" s="24"/>
      <c r="H27" s="23"/>
      <c r="I27" s="24"/>
      <c r="J27" s="30"/>
      <c r="K27" s="24"/>
      <c r="L27" s="30"/>
      <c r="M27" s="30"/>
      <c r="N27" s="30"/>
    </row>
    <row r="28" spans="1:14" ht="15.75" x14ac:dyDescent="0.25">
      <c r="A28" s="8"/>
      <c r="B28" s="23"/>
      <c r="C28" s="24"/>
      <c r="D28" s="23"/>
      <c r="E28" s="23"/>
      <c r="F28" s="23"/>
      <c r="G28" s="24"/>
      <c r="H28" s="23"/>
      <c r="I28" s="24"/>
      <c r="J28" s="30"/>
      <c r="K28" s="24"/>
      <c r="L28" s="30"/>
      <c r="M28" s="30"/>
      <c r="N28" s="30"/>
    </row>
    <row r="29" spans="1:14" ht="15.75" x14ac:dyDescent="0.25">
      <c r="A29" s="8"/>
      <c r="B29" s="23"/>
      <c r="C29" s="24"/>
      <c r="D29" s="23"/>
      <c r="E29" s="23"/>
      <c r="F29" s="23"/>
      <c r="G29" s="24"/>
      <c r="H29" s="23"/>
      <c r="I29" s="24"/>
      <c r="J29" s="30"/>
      <c r="K29" s="24"/>
      <c r="L29" s="30"/>
      <c r="M29" s="30"/>
      <c r="N29" s="30"/>
    </row>
    <row r="30" spans="1:14" ht="15.75" x14ac:dyDescent="0.25">
      <c r="A30" s="8"/>
      <c r="B30" s="23"/>
      <c r="C30" s="24"/>
      <c r="D30" s="23"/>
      <c r="E30" s="23"/>
      <c r="F30" s="23"/>
      <c r="G30" s="24"/>
      <c r="H30" s="23"/>
      <c r="I30" s="24"/>
      <c r="J30" s="30"/>
      <c r="K30" s="24"/>
      <c r="L30" s="30"/>
      <c r="M30" s="30"/>
      <c r="N30" s="30"/>
    </row>
    <row r="31" spans="1:14" ht="15.75" x14ac:dyDescent="0.25">
      <c r="A31" s="8"/>
      <c r="B31" s="23"/>
      <c r="C31" s="24"/>
      <c r="D31" s="23"/>
      <c r="E31" s="23"/>
      <c r="F31" s="23"/>
      <c r="G31" s="24"/>
      <c r="H31" s="23"/>
      <c r="I31" s="24"/>
      <c r="J31" s="30"/>
      <c r="K31" s="24"/>
      <c r="L31" s="30"/>
      <c r="M31" s="30"/>
      <c r="N31" s="30"/>
    </row>
    <row r="32" spans="1:14" ht="15.75" x14ac:dyDescent="0.25">
      <c r="A32" s="8"/>
      <c r="B32" s="23"/>
      <c r="C32" s="24"/>
      <c r="D32" s="23"/>
      <c r="E32" s="23"/>
      <c r="F32" s="23"/>
      <c r="G32" s="24"/>
      <c r="H32" s="23"/>
      <c r="I32" s="24"/>
      <c r="J32" s="30"/>
      <c r="K32" s="24"/>
      <c r="L32" s="30"/>
      <c r="M32" s="30"/>
      <c r="N32" s="30"/>
    </row>
    <row r="33" spans="1:14" ht="15.75" x14ac:dyDescent="0.25">
      <c r="A33" s="8"/>
      <c r="B33" s="23"/>
      <c r="C33" s="24"/>
      <c r="D33" s="23"/>
      <c r="E33" s="23"/>
      <c r="F33" s="23"/>
      <c r="G33" s="24"/>
      <c r="H33" s="23"/>
      <c r="I33" s="24"/>
      <c r="J33" s="30"/>
      <c r="K33" s="24"/>
      <c r="L33" s="30"/>
      <c r="M33" s="30"/>
      <c r="N33" s="30"/>
    </row>
    <row r="34" spans="1:14" ht="15.75" x14ac:dyDescent="0.25">
      <c r="A34" s="5" t="s">
        <v>20</v>
      </c>
      <c r="B34" s="23"/>
      <c r="C34" s="23"/>
      <c r="D34" s="23"/>
      <c r="E34" s="23"/>
      <c r="F34" s="23"/>
      <c r="G34" s="23"/>
      <c r="H34" s="23"/>
      <c r="I34" s="23"/>
      <c r="J34" s="30"/>
      <c r="K34" s="24"/>
      <c r="L34" s="30"/>
      <c r="M34" s="30"/>
      <c r="N34" s="30"/>
    </row>
    <row r="35" spans="1:14" s="63" customFormat="1" ht="15.75" x14ac:dyDescent="0.25">
      <c r="A35" s="147" t="s">
        <v>37</v>
      </c>
      <c r="N35" s="83"/>
    </row>
    <row r="36" spans="1:14" s="63" customFormat="1" x14ac:dyDescent="0.2">
      <c r="A36" s="130" t="s">
        <v>324</v>
      </c>
      <c r="B36" s="248">
        <f>+'[3]Summary Category RPW Data'!$F$151/1000</f>
        <v>29554.3</v>
      </c>
      <c r="C36" s="89">
        <f>B36/B$69</f>
        <v>5.1760420242428641E-2</v>
      </c>
      <c r="D36" s="248">
        <f>+'[3]Summary Category RPW Data'!$D$151/1000</f>
        <v>339123.79499999998</v>
      </c>
      <c r="E36" s="81"/>
      <c r="F36" s="81">
        <f>D36</f>
        <v>339123.79499999998</v>
      </c>
      <c r="G36" s="89">
        <f>F36/F$69</f>
        <v>0.29859124357624389</v>
      </c>
      <c r="H36" s="81">
        <f>+[8]Cost1!$D$63*1000</f>
        <v>340947.78022498946</v>
      </c>
      <c r="I36" s="89">
        <f>H36/H$69</f>
        <v>0.30505642398222305</v>
      </c>
      <c r="J36" s="81">
        <f>D36-H36</f>
        <v>-1823.9852249894757</v>
      </c>
      <c r="K36" s="81">
        <f>D36/B36*100</f>
        <v>1147.4600819508498</v>
      </c>
      <c r="L36" s="81">
        <f>H36/B36*100</f>
        <v>1153.6317227103652</v>
      </c>
      <c r="M36" s="145">
        <f>J36/B36*100</f>
        <v>-6.1716407595154541</v>
      </c>
      <c r="N36" s="82">
        <f>D36/H36</f>
        <v>0.99465025047593558</v>
      </c>
    </row>
    <row r="37" spans="1:14" s="63" customFormat="1" ht="15.75" x14ac:dyDescent="0.25">
      <c r="A37" s="38" t="s">
        <v>39</v>
      </c>
      <c r="B37" s="266">
        <f>+'[3]Summary Category RPW Data'!$F$153/1000</f>
        <v>905.94899999999996</v>
      </c>
      <c r="C37" s="81"/>
      <c r="D37" s="248">
        <f>+'[3]Summary Category RPW Data'!$D$153/1000</f>
        <v>17933.103999999999</v>
      </c>
      <c r="E37" s="59"/>
      <c r="F37" s="81">
        <f>D37+E37</f>
        <v>17933.103999999999</v>
      </c>
      <c r="G37" s="81"/>
      <c r="H37" s="81">
        <f>+'[1]ACR2013 Intl Products"Booked" '!$O$21</f>
        <v>10756.145909557197</v>
      </c>
      <c r="I37" s="81"/>
      <c r="J37" s="81">
        <f>D37-H37</f>
        <v>7176.9580904428021</v>
      </c>
      <c r="K37" s="81">
        <f>D37/B37*100</f>
        <v>1979.4827302640656</v>
      </c>
      <c r="L37" s="81">
        <f>H37/B37*100</f>
        <v>1187.2794064077777</v>
      </c>
      <c r="M37" s="145">
        <f>J37/B37*100</f>
        <v>792.20332385628797</v>
      </c>
      <c r="N37" s="82">
        <f>D37/H37</f>
        <v>1.6672425375027531</v>
      </c>
    </row>
    <row r="38" spans="1:14" s="63" customFormat="1" ht="15.75" x14ac:dyDescent="0.25">
      <c r="A38" s="38" t="s">
        <v>259</v>
      </c>
      <c r="B38" s="248">
        <f>+'[3]Summary Category RPW Data'!$F$155/1000</f>
        <v>0.97099999999999997</v>
      </c>
      <c r="C38" s="81"/>
      <c r="D38" s="248">
        <f>+'[3]Summary Category RPW Data'!$D$155/1000</f>
        <v>2.1669999999999998</v>
      </c>
      <c r="E38" s="59"/>
      <c r="F38" s="81">
        <f>D38+E38</f>
        <v>2.1669999999999998</v>
      </c>
      <c r="G38" s="81"/>
      <c r="H38" s="81">
        <f>+'[1]ACR2013 MD IB Intl NSAs'!$AB$69</f>
        <v>0.87447537583807233</v>
      </c>
      <c r="I38" s="81"/>
      <c r="J38" s="81">
        <f>D38-H38</f>
        <v>1.2925246241619275</v>
      </c>
      <c r="K38" s="81">
        <f>D38/B38*100</f>
        <v>223.17198764160659</v>
      </c>
      <c r="L38" s="81"/>
      <c r="M38" s="145"/>
      <c r="N38" s="82"/>
    </row>
    <row r="39" spans="1:14" s="63" customFormat="1" ht="15.75" x14ac:dyDescent="0.25">
      <c r="A39" s="60" t="s">
        <v>260</v>
      </c>
      <c r="B39" s="247">
        <f>B37+B38</f>
        <v>906.92</v>
      </c>
      <c r="C39" s="59"/>
      <c r="D39" s="247">
        <f>D37+D38</f>
        <v>17935.271000000001</v>
      </c>
      <c r="E39" s="59"/>
      <c r="F39" s="59">
        <f>F37+F38</f>
        <v>17935.271000000001</v>
      </c>
      <c r="G39" s="59"/>
      <c r="H39" s="59">
        <f>H37+H38</f>
        <v>10757.020384933036</v>
      </c>
      <c r="I39" s="59"/>
      <c r="J39" s="59">
        <f>J37+J38</f>
        <v>7178.2506150669642</v>
      </c>
      <c r="K39" s="59"/>
      <c r="L39" s="59"/>
      <c r="M39" s="146"/>
      <c r="N39" s="96"/>
    </row>
    <row r="40" spans="1:14" s="63" customFormat="1" ht="15.75" x14ac:dyDescent="0.25">
      <c r="A40" s="28" t="s">
        <v>191</v>
      </c>
      <c r="B40" s="247"/>
      <c r="C40" s="59"/>
      <c r="D40" s="248"/>
      <c r="E40" s="59"/>
      <c r="F40" s="81"/>
      <c r="G40" s="59"/>
      <c r="H40" s="81"/>
      <c r="I40" s="59"/>
      <c r="M40" s="83"/>
      <c r="N40" s="83"/>
    </row>
    <row r="41" spans="1:14" s="63" customFormat="1" ht="15.75" x14ac:dyDescent="0.25">
      <c r="A41" s="28" t="s">
        <v>192</v>
      </c>
      <c r="B41" s="247"/>
      <c r="C41" s="59"/>
      <c r="D41" s="248"/>
      <c r="E41" s="59"/>
      <c r="F41" s="81"/>
      <c r="G41" s="59"/>
      <c r="H41" s="81"/>
      <c r="I41" s="59"/>
      <c r="M41" s="83"/>
      <c r="N41" s="83"/>
    </row>
    <row r="42" spans="1:14" s="63" customFormat="1" x14ac:dyDescent="0.2">
      <c r="A42" s="120" t="s">
        <v>193</v>
      </c>
      <c r="B42" s="248">
        <f>+'[3]Summary Category RPW Data'!$E$156/1000</f>
        <v>3663.2489999999998</v>
      </c>
      <c r="C42" s="89">
        <f>B42/B$69</f>
        <v>6.4156927314352385E-3</v>
      </c>
      <c r="D42" s="248">
        <f>+'[3]Summary Category RPW Data'!$C$156/1000</f>
        <v>7711.0739999999996</v>
      </c>
      <c r="E42" s="81"/>
      <c r="F42" s="81">
        <f>D42+E42</f>
        <v>7711.0739999999996</v>
      </c>
      <c r="G42" s="89">
        <f>F42/F$69</f>
        <v>6.7894356247353311E-3</v>
      </c>
      <c r="H42" s="81"/>
      <c r="I42" s="89">
        <f>H42/H$69</f>
        <v>0</v>
      </c>
      <c r="K42" s="81">
        <f>D42/B42*100</f>
        <v>210.49822166060784</v>
      </c>
      <c r="M42" s="83"/>
      <c r="N42" s="83"/>
    </row>
    <row r="43" spans="1:14" s="63" customFormat="1" x14ac:dyDescent="0.2">
      <c r="A43" s="120" t="s">
        <v>194</v>
      </c>
      <c r="B43" s="248">
        <f>+'[3]Summary Category RPW Data'!$E$158/1000+'[3]Summary Category RPW Data'!$E$161/1000+'[3]Summary Category RPW Data'!$E$159/1000</f>
        <v>126013.251</v>
      </c>
      <c r="C43" s="89">
        <f>B43/B$69</f>
        <v>0.22069542597438077</v>
      </c>
      <c r="D43" s="248">
        <f>+'[3]Summary Category RPW Data'!$C$158/1000+'[3]Summary Category RPW Data'!$C$161/1000+'[3]Summary Category RPW Data'!$C$159/1000</f>
        <v>115746.02800000001</v>
      </c>
      <c r="E43" s="81"/>
      <c r="F43" s="81">
        <f>D43+E43</f>
        <v>115746.02800000001</v>
      </c>
      <c r="G43" s="89">
        <f>F43/F$69</f>
        <v>0.10191190045962639</v>
      </c>
      <c r="H43" s="81"/>
      <c r="I43" s="89">
        <f>H43/H$69</f>
        <v>0</v>
      </c>
      <c r="K43" s="81">
        <f>D43/B43*100</f>
        <v>91.852267187361107</v>
      </c>
      <c r="M43" s="83"/>
      <c r="N43" s="83"/>
    </row>
    <row r="44" spans="1:14" s="63" customFormat="1" x14ac:dyDescent="0.2">
      <c r="A44" s="120" t="s">
        <v>75</v>
      </c>
      <c r="B44" s="248">
        <f>+'[3]Summary Category RPW Data'!$E$160/1000</f>
        <v>99934.581000000006</v>
      </c>
      <c r="C44" s="89">
        <f>B44/B$69</f>
        <v>0.17502210877303895</v>
      </c>
      <c r="D44" s="248">
        <f>+'[3]Summary Category RPW Data'!$C$160/1000</f>
        <v>61311.040000000001</v>
      </c>
      <c r="E44" s="81"/>
      <c r="F44" s="81">
        <f>D44+E44</f>
        <v>61311.040000000001</v>
      </c>
      <c r="G44" s="89">
        <f>F44/F$69</f>
        <v>5.3983058542243646E-2</v>
      </c>
      <c r="H44" s="81"/>
      <c r="I44" s="89">
        <f>H44/H$69</f>
        <v>0</v>
      </c>
      <c r="K44" s="81">
        <f>D44/B44*100</f>
        <v>61.351175325386109</v>
      </c>
      <c r="M44" s="83"/>
      <c r="N44" s="83"/>
    </row>
    <row r="45" spans="1:14" s="63" customFormat="1" ht="15.75" x14ac:dyDescent="0.25">
      <c r="A45" s="166" t="s">
        <v>195</v>
      </c>
      <c r="B45" s="247">
        <f>+B44+B43</f>
        <v>225947.83199999999</v>
      </c>
      <c r="C45" s="92">
        <f>B45/B$69</f>
        <v>0.39571753474741966</v>
      </c>
      <c r="D45" s="247">
        <f>+D43+D44</f>
        <v>177057.068</v>
      </c>
      <c r="E45" s="59"/>
      <c r="F45" s="59">
        <f>SUM(F43:F44)</f>
        <v>177057.068</v>
      </c>
      <c r="G45" s="92">
        <f>F45/F$69</f>
        <v>0.15589495900187003</v>
      </c>
      <c r="H45" s="81"/>
      <c r="I45" s="92">
        <f>H45/H$69</f>
        <v>0</v>
      </c>
      <c r="K45" s="59">
        <f>D45/B45*100</f>
        <v>78.361923826735364</v>
      </c>
      <c r="M45" s="83"/>
      <c r="N45" s="83"/>
    </row>
    <row r="46" spans="1:14" s="63" customFormat="1" ht="15.75" x14ac:dyDescent="0.25">
      <c r="A46" s="27" t="s">
        <v>196</v>
      </c>
      <c r="B46" s="247">
        <f>+B45+B42</f>
        <v>229611.08100000001</v>
      </c>
      <c r="C46" s="92">
        <f>B46/B$69</f>
        <v>0.40213322747885494</v>
      </c>
      <c r="D46" s="247">
        <f>+D45+D42</f>
        <v>184768.14199999999</v>
      </c>
      <c r="E46" s="59"/>
      <c r="F46" s="59">
        <f>F42+F45</f>
        <v>184768.14199999999</v>
      </c>
      <c r="G46" s="92">
        <f>F46/F$69</f>
        <v>0.16268439462660536</v>
      </c>
      <c r="H46" s="59">
        <f>+[8]Cost1!$D$66*1000</f>
        <v>130417.99661986517</v>
      </c>
      <c r="I46" s="92">
        <f>H46/H$69</f>
        <v>0.11668897696159786</v>
      </c>
      <c r="J46" s="59">
        <f>D46-H46</f>
        <v>54350.145380134825</v>
      </c>
      <c r="K46" s="59">
        <f>D46/B46*100</f>
        <v>80.470045781457728</v>
      </c>
      <c r="L46" s="59">
        <f>H46/B46*100</f>
        <v>56.799522066561394</v>
      </c>
      <c r="M46" s="146">
        <f>J46/B46*100</f>
        <v>23.67052371489633</v>
      </c>
      <c r="N46" s="96">
        <f>D46/H46</f>
        <v>1.4167380790133703</v>
      </c>
    </row>
    <row r="47" spans="1:14" s="63" customFormat="1" ht="15.75" x14ac:dyDescent="0.25">
      <c r="A47" s="28" t="s">
        <v>197</v>
      </c>
      <c r="B47" s="247"/>
      <c r="C47" s="59"/>
      <c r="D47" s="247"/>
      <c r="E47" s="59"/>
      <c r="F47" s="59"/>
      <c r="G47" s="59"/>
      <c r="H47" s="81"/>
      <c r="I47" s="59"/>
      <c r="M47" s="83"/>
      <c r="N47" s="83"/>
    </row>
    <row r="48" spans="1:14" s="63" customFormat="1" x14ac:dyDescent="0.2">
      <c r="A48" s="120" t="s">
        <v>193</v>
      </c>
      <c r="B48" s="248">
        <f>+'[3]Summary Category RPW Data'!$E$162/1000</f>
        <v>5358.6670000000004</v>
      </c>
      <c r="C48" s="89">
        <f t="shared" ref="C48:C53" si="18">B48/B$69</f>
        <v>9.3849915531490982E-3</v>
      </c>
      <c r="D48" s="248">
        <f>+'[3]Summary Category RPW Data'!$C$162/1000</f>
        <v>16446.863000000001</v>
      </c>
      <c r="E48" s="81"/>
      <c r="F48" s="81">
        <f>D48+E48</f>
        <v>16446.863000000001</v>
      </c>
      <c r="G48" s="89">
        <f t="shared" ref="G48:G53" si="19">F48/F$69</f>
        <v>1.4481110876038981E-2</v>
      </c>
      <c r="H48" s="81"/>
      <c r="I48" s="89">
        <f t="shared" ref="I48:I53" si="20">H48/H$69</f>
        <v>0</v>
      </c>
      <c r="K48" s="81">
        <f t="shared" ref="K48:K53" si="21">D48/B48*100</f>
        <v>306.92078832291691</v>
      </c>
      <c r="M48" s="83"/>
      <c r="N48" s="83"/>
    </row>
    <row r="49" spans="1:14" s="63" customFormat="1" x14ac:dyDescent="0.2">
      <c r="A49" s="120" t="s">
        <v>194</v>
      </c>
      <c r="B49" s="248">
        <f>+'[3]Summary Category RPW Data'!$E$163/1000+'[3]Summary Category RPW Data'!$E$165/1000</f>
        <v>195582.35699999999</v>
      </c>
      <c r="C49" s="89">
        <f t="shared" si="18"/>
        <v>0.34253644952933093</v>
      </c>
      <c r="D49" s="248">
        <f>+'[3]Summary Category RPW Data'!$C$163/1000+'[3]Summary Category RPW Data'!$C$165/1000</f>
        <v>246547.21599999999</v>
      </c>
      <c r="E49" s="81"/>
      <c r="F49" s="81">
        <f>D49+E49</f>
        <v>246547.21599999999</v>
      </c>
      <c r="G49" s="89">
        <f t="shared" si="19"/>
        <v>0.21707954708899391</v>
      </c>
      <c r="H49" s="81"/>
      <c r="I49" s="89">
        <f t="shared" si="20"/>
        <v>0</v>
      </c>
      <c r="K49" s="81">
        <f t="shared" si="21"/>
        <v>126.05800430148206</v>
      </c>
      <c r="M49" s="83"/>
      <c r="N49" s="83"/>
    </row>
    <row r="50" spans="1:14" s="63" customFormat="1" x14ac:dyDescent="0.2">
      <c r="A50" s="120" t="s">
        <v>75</v>
      </c>
      <c r="B50" s="248">
        <f>+'[3]Summary Category RPW Data'!$E$164/1000</f>
        <v>15445.431</v>
      </c>
      <c r="C50" s="89">
        <f t="shared" si="18"/>
        <v>2.7050615287299476E-2</v>
      </c>
      <c r="D50" s="248">
        <f>+'[3]Summary Category RPW Data'!$C$164/1000</f>
        <v>11593.468999999999</v>
      </c>
      <c r="E50" s="81"/>
      <c r="F50" s="81">
        <f>D50+E50</f>
        <v>11593.468999999999</v>
      </c>
      <c r="G50" s="89">
        <f t="shared" si="19"/>
        <v>1.0207801331288572E-2</v>
      </c>
      <c r="H50" s="81"/>
      <c r="I50" s="89">
        <f t="shared" si="20"/>
        <v>0</v>
      </c>
      <c r="K50" s="81">
        <f t="shared" si="21"/>
        <v>75.060831905564811</v>
      </c>
      <c r="M50" s="83"/>
      <c r="N50" s="83"/>
    </row>
    <row r="51" spans="1:14" s="63" customFormat="1" ht="15.75" x14ac:dyDescent="0.25">
      <c r="A51" s="166" t="s">
        <v>198</v>
      </c>
      <c r="B51" s="247">
        <f>+B49+B50</f>
        <v>211027.788</v>
      </c>
      <c r="C51" s="92">
        <f t="shared" si="18"/>
        <v>0.3695870648166304</v>
      </c>
      <c r="D51" s="247">
        <f>+D50+D49</f>
        <v>258140.685</v>
      </c>
      <c r="E51" s="59"/>
      <c r="F51" s="59">
        <f>SUM(F49:F50)</f>
        <v>258140.685</v>
      </c>
      <c r="G51" s="92">
        <f t="shared" si="19"/>
        <v>0.22728734842028248</v>
      </c>
      <c r="H51" s="81"/>
      <c r="I51" s="92">
        <f t="shared" si="20"/>
        <v>0</v>
      </c>
      <c r="K51" s="59">
        <f t="shared" si="21"/>
        <v>122.32544701648487</v>
      </c>
      <c r="M51" s="83"/>
      <c r="N51" s="83"/>
    </row>
    <row r="52" spans="1:14" s="63" customFormat="1" ht="15.75" x14ac:dyDescent="0.25">
      <c r="A52" s="27" t="s">
        <v>199</v>
      </c>
      <c r="B52" s="247">
        <f>+B51+B48</f>
        <v>216386.45499999999</v>
      </c>
      <c r="C52" s="92">
        <f t="shared" si="18"/>
        <v>0.37897205636977949</v>
      </c>
      <c r="D52" s="247">
        <f>+D51+D48</f>
        <v>274587.54800000001</v>
      </c>
      <c r="E52" s="59"/>
      <c r="F52" s="59">
        <f>SUM(F48:F50)</f>
        <v>274587.54799999995</v>
      </c>
      <c r="G52" s="92">
        <f t="shared" si="19"/>
        <v>0.24176845929632143</v>
      </c>
      <c r="H52" s="59">
        <f>+[8]Cost1!$D$67*1000</f>
        <v>263130.09077894309</v>
      </c>
      <c r="I52" s="92">
        <f t="shared" si="20"/>
        <v>0.23543055327174359</v>
      </c>
      <c r="J52" s="59">
        <f>D52-H52</f>
        <v>11457.457221056917</v>
      </c>
      <c r="K52" s="59">
        <f t="shared" si="21"/>
        <v>126.8968281771611</v>
      </c>
      <c r="L52" s="59">
        <f>H52/B52*100</f>
        <v>121.60192317903775</v>
      </c>
      <c r="M52" s="146">
        <f>J52/B52*100</f>
        <v>5.2949049981233429</v>
      </c>
      <c r="N52" s="96">
        <f>D52/H52</f>
        <v>1.0435429379708701</v>
      </c>
    </row>
    <row r="53" spans="1:14" s="63" customFormat="1" ht="15.75" x14ac:dyDescent="0.25">
      <c r="A53" s="60" t="s">
        <v>200</v>
      </c>
      <c r="B53" s="247">
        <f>B46+B52</f>
        <v>445997.53599999996</v>
      </c>
      <c r="C53" s="92">
        <f t="shared" si="18"/>
        <v>0.78110528384863442</v>
      </c>
      <c r="D53" s="247">
        <f>D46+D52</f>
        <v>459355.69</v>
      </c>
      <c r="E53" s="59"/>
      <c r="F53" s="59">
        <f>F46+F52</f>
        <v>459355.68999999994</v>
      </c>
      <c r="G53" s="92">
        <f t="shared" si="19"/>
        <v>0.40445285392292679</v>
      </c>
      <c r="H53" s="59">
        <f>H46+H52</f>
        <v>393548.08739880827</v>
      </c>
      <c r="I53" s="92">
        <f t="shared" si="20"/>
        <v>0.35211953023334147</v>
      </c>
      <c r="J53" s="59">
        <f>J46+J52</f>
        <v>65807.602601191742</v>
      </c>
      <c r="K53" s="59">
        <f t="shared" si="21"/>
        <v>102.99511834074349</v>
      </c>
      <c r="L53" s="59">
        <f>H53/B53*100</f>
        <v>88.239968975704912</v>
      </c>
      <c r="M53" s="146">
        <f>J53/B53*100</f>
        <v>14.755149365038589</v>
      </c>
      <c r="N53" s="96">
        <f>D53/H53</f>
        <v>1.1672161667362</v>
      </c>
    </row>
    <row r="54" spans="1:14" s="63" customFormat="1" ht="15.75" x14ac:dyDescent="0.25">
      <c r="A54" s="28" t="s">
        <v>201</v>
      </c>
      <c r="B54" s="247"/>
      <c r="C54" s="59"/>
      <c r="D54" s="247"/>
      <c r="E54" s="59"/>
      <c r="F54" s="59"/>
      <c r="G54" s="59"/>
      <c r="H54" s="81"/>
      <c r="I54" s="59"/>
      <c r="M54" s="83"/>
      <c r="N54" s="83"/>
    </row>
    <row r="55" spans="1:14" s="63" customFormat="1" x14ac:dyDescent="0.2">
      <c r="A55" s="41" t="s">
        <v>202</v>
      </c>
      <c r="B55" s="248">
        <f>+'[3]Summary Category RPW Data'!$E$166/1000+'[3]Summary Category RPW Data'!$E$168/1000</f>
        <v>84118.954000000012</v>
      </c>
      <c r="C55" s="89">
        <f>B55/B$69</f>
        <v>0.14732314449652079</v>
      </c>
      <c r="D55" s="248">
        <f>+'[3]Summary Category RPW Data'!$C$166/1000+'[3]Summary Category RPW Data'!$C$168/1000</f>
        <v>285058.81300000002</v>
      </c>
      <c r="E55" s="81"/>
      <c r="F55" s="81">
        <f>D55+E55</f>
        <v>285058.81300000002</v>
      </c>
      <c r="G55" s="89">
        <f>F55/F$69</f>
        <v>0.25098818402299955</v>
      </c>
      <c r="H55" s="81"/>
      <c r="I55" s="89">
        <f>H55/H$69</f>
        <v>0</v>
      </c>
      <c r="K55" s="81">
        <f>D55/B55*100</f>
        <v>338.8758412283633</v>
      </c>
      <c r="M55" s="83"/>
      <c r="N55" s="83"/>
    </row>
    <row r="56" spans="1:14" s="63" customFormat="1" ht="14.25" customHeight="1" x14ac:dyDescent="0.2">
      <c r="A56" s="120" t="s">
        <v>194</v>
      </c>
      <c r="B56" s="248">
        <f>+'[3]Summary Category RPW Data'!$E$167/1000</f>
        <v>4689.4719999999998</v>
      </c>
      <c r="C56" s="89">
        <f>B56/B$69</f>
        <v>8.2129856377955932E-3</v>
      </c>
      <c r="D56" s="248">
        <f>+'[3]Summary Category RPW Data'!$C$167/1000</f>
        <v>13862.505999999999</v>
      </c>
      <c r="E56" s="81"/>
      <c r="F56" s="81">
        <f>D56+E56</f>
        <v>13862.505999999999</v>
      </c>
      <c r="G56" s="89">
        <f>F56/F$69</f>
        <v>1.2205639847900211E-2</v>
      </c>
      <c r="H56" s="81"/>
      <c r="I56" s="89">
        <f>H56/H$69</f>
        <v>0</v>
      </c>
      <c r="K56" s="81">
        <f>D56/B56*100</f>
        <v>295.60910055545702</v>
      </c>
      <c r="M56" s="83"/>
      <c r="N56" s="83"/>
    </row>
    <row r="57" spans="1:14" s="63" customFormat="1" ht="15.75" x14ac:dyDescent="0.25">
      <c r="A57" s="119" t="s">
        <v>203</v>
      </c>
      <c r="B57" s="247">
        <f>SUM(B55:B56)</f>
        <v>88808.426000000007</v>
      </c>
      <c r="C57" s="92">
        <f>B57/B$69</f>
        <v>0.15553613013431639</v>
      </c>
      <c r="D57" s="247">
        <f>SUM(D55:D56)</f>
        <v>298921.31900000002</v>
      </c>
      <c r="E57" s="59"/>
      <c r="F57" s="59">
        <f>SUM(F55:F56)</f>
        <v>298921.31900000002</v>
      </c>
      <c r="G57" s="92">
        <f>F57/F$69</f>
        <v>0.26319382387089973</v>
      </c>
      <c r="H57" s="81"/>
      <c r="I57" s="92">
        <f>H57/H$69</f>
        <v>0</v>
      </c>
      <c r="K57" s="59">
        <f>D57/B57*100</f>
        <v>336.59116872536396</v>
      </c>
      <c r="M57" s="83"/>
      <c r="N57" s="83"/>
    </row>
    <row r="58" spans="1:14" s="63" customFormat="1" ht="15.75" x14ac:dyDescent="0.25">
      <c r="A58" s="28" t="s">
        <v>204</v>
      </c>
      <c r="B58" s="247"/>
      <c r="C58" s="59"/>
      <c r="D58" s="247"/>
      <c r="E58" s="59"/>
      <c r="F58" s="59"/>
      <c r="G58" s="59"/>
      <c r="H58" s="81"/>
      <c r="I58" s="59"/>
      <c r="M58" s="83"/>
      <c r="N58" s="83"/>
    </row>
    <row r="59" spans="1:14" s="63" customFormat="1" x14ac:dyDescent="0.2">
      <c r="A59" s="41" t="s">
        <v>202</v>
      </c>
      <c r="B59" s="248">
        <f>+'[3]Summary Category RPW Data'!$E$169/1000+'[3]Summary Category RPW Data'!$E$171/1000</f>
        <v>5242.8860000000004</v>
      </c>
      <c r="C59" s="89">
        <f>B59/B$69</f>
        <v>9.1822165520125919E-3</v>
      </c>
      <c r="D59" s="248">
        <f>+'[3]Summary Category RPW Data'!$C$169/1000+'[3]Summary Category RPW Data'!$C$171/1000</f>
        <v>16372.120999999999</v>
      </c>
      <c r="E59" s="81"/>
      <c r="F59" s="81">
        <f>D59+E59</f>
        <v>16372.120999999999</v>
      </c>
      <c r="G59" s="89">
        <f>F59/F$69</f>
        <v>1.4415302144665895E-2</v>
      </c>
      <c r="H59" s="81"/>
      <c r="I59" s="89">
        <f>H59/H$69</f>
        <v>0</v>
      </c>
      <c r="K59" s="81">
        <f>D59/B59*100</f>
        <v>312.27306868774178</v>
      </c>
      <c r="M59" s="83"/>
      <c r="N59" s="83"/>
    </row>
    <row r="60" spans="1:14" s="63" customFormat="1" x14ac:dyDescent="0.2">
      <c r="A60" s="120" t="s">
        <v>194</v>
      </c>
      <c r="B60" s="248">
        <f>+'[3]Summary Category RPW Data'!$E$170/1000</f>
        <v>472.54500000000002</v>
      </c>
      <c r="C60" s="89">
        <f>B60/B$69</f>
        <v>8.2759963130435985E-4</v>
      </c>
      <c r="D60" s="248">
        <f>+'[3]Summary Category RPW Data'!$C$170/1000</f>
        <v>1144.008</v>
      </c>
      <c r="E60" s="81"/>
      <c r="F60" s="81">
        <f>D60+E60</f>
        <v>1144.008</v>
      </c>
      <c r="G60" s="89">
        <f>F60/F$69</f>
        <v>1.0072745599617144E-3</v>
      </c>
      <c r="H60" s="81"/>
      <c r="I60" s="89">
        <f>H60/H$69</f>
        <v>0</v>
      </c>
      <c r="K60" s="81">
        <f>D60/B60*100</f>
        <v>242.09503856775547</v>
      </c>
      <c r="M60" s="83"/>
      <c r="N60" s="83"/>
    </row>
    <row r="61" spans="1:14" s="63" customFormat="1" ht="15.75" x14ac:dyDescent="0.25">
      <c r="A61" s="119" t="s">
        <v>205</v>
      </c>
      <c r="B61" s="247">
        <f>SUM(B59:B60)</f>
        <v>5715.4310000000005</v>
      </c>
      <c r="C61" s="92">
        <f>B61/B$69</f>
        <v>1.0009816183316951E-2</v>
      </c>
      <c r="D61" s="247">
        <f>SUM(D59:D60)</f>
        <v>17516.129000000001</v>
      </c>
      <c r="E61" s="59"/>
      <c r="F61" s="59">
        <f>SUM(F59:F60)</f>
        <v>17516.129000000001</v>
      </c>
      <c r="G61" s="92">
        <f>F61/F$69</f>
        <v>1.5422576704627612E-2</v>
      </c>
      <c r="H61" s="81"/>
      <c r="I61" s="92">
        <f>H61/H$69</f>
        <v>0</v>
      </c>
      <c r="K61" s="59">
        <f>D61/B61*100</f>
        <v>306.47083308327927</v>
      </c>
      <c r="M61" s="83"/>
      <c r="N61" s="83"/>
    </row>
    <row r="62" spans="1:14" s="63" customFormat="1" ht="15.75" x14ac:dyDescent="0.25">
      <c r="A62" s="119"/>
      <c r="B62" s="247"/>
      <c r="C62" s="92"/>
      <c r="D62" s="247"/>
      <c r="E62" s="59"/>
      <c r="F62" s="59"/>
      <c r="G62" s="92"/>
      <c r="H62" s="81"/>
      <c r="I62" s="92"/>
      <c r="K62" s="59"/>
      <c r="M62" s="83"/>
      <c r="N62" s="83"/>
    </row>
    <row r="63" spans="1:14" s="63" customFormat="1" ht="15.75" x14ac:dyDescent="0.25">
      <c r="A63" s="119" t="s">
        <v>38</v>
      </c>
      <c r="B63" s="247">
        <f>B57+B61</f>
        <v>94523.857000000004</v>
      </c>
      <c r="C63" s="92">
        <f>B63/B$69</f>
        <v>0.16554594631763331</v>
      </c>
      <c r="D63" s="247">
        <f>D57+D61</f>
        <v>316437.44800000003</v>
      </c>
      <c r="E63" s="59"/>
      <c r="F63" s="59">
        <f>F57+F61</f>
        <v>316437.44800000003</v>
      </c>
      <c r="G63" s="92">
        <f>F63/F$69</f>
        <v>0.27861640057552739</v>
      </c>
      <c r="H63" s="59">
        <f>+[8]Cost1!$D$68*1000</f>
        <v>372401.92408877792</v>
      </c>
      <c r="I63" s="92">
        <f>H63/H$69</f>
        <v>0.33319941010220255</v>
      </c>
      <c r="J63" s="59">
        <f>D63-H63</f>
        <v>-55964.476088777883</v>
      </c>
      <c r="K63" s="59">
        <f>D63/B63*100</f>
        <v>334.76992797701854</v>
      </c>
      <c r="L63" s="59">
        <f>H63/B63*100</f>
        <v>393.97664876156915</v>
      </c>
      <c r="M63" s="146">
        <f>J63/B63*100</f>
        <v>-59.206720784550591</v>
      </c>
      <c r="N63" s="96">
        <f>D63/H63</f>
        <v>0.84972022841794892</v>
      </c>
    </row>
    <row r="64" spans="1:14" s="63" customFormat="1" ht="15.75" x14ac:dyDescent="0.25">
      <c r="A64" s="119"/>
      <c r="B64" s="247"/>
      <c r="C64" s="92"/>
      <c r="D64" s="247"/>
      <c r="E64" s="59"/>
      <c r="F64" s="59"/>
      <c r="G64" s="92"/>
      <c r="H64" s="59"/>
      <c r="I64" s="92"/>
      <c r="J64" s="59"/>
      <c r="K64" s="59"/>
      <c r="L64" s="59"/>
      <c r="M64" s="146"/>
      <c r="N64" s="96"/>
    </row>
    <row r="65" spans="1:14" s="63" customFormat="1" ht="15.75" x14ac:dyDescent="0.25">
      <c r="A65" s="28" t="s">
        <v>277</v>
      </c>
      <c r="B65" s="247">
        <f>B36+B53+B63</f>
        <v>570075.69299999997</v>
      </c>
      <c r="C65" s="92">
        <f>B65/B$69</f>
        <v>0.99841165040869639</v>
      </c>
      <c r="D65" s="247">
        <f>D36+D53+D63</f>
        <v>1114916.933</v>
      </c>
      <c r="E65" s="59"/>
      <c r="F65" s="59">
        <f>F36+F53+F63</f>
        <v>1114916.933</v>
      </c>
      <c r="G65" s="92">
        <f>F65/F$69</f>
        <v>0.98166049807469802</v>
      </c>
      <c r="H65" s="59">
        <f>H36+H53+H63</f>
        <v>1106897.7917125756</v>
      </c>
      <c r="I65" s="92">
        <f>H65/H$69</f>
        <v>0.99037536431776696</v>
      </c>
      <c r="J65" s="59">
        <f>J36+J53+J63</f>
        <v>8019.1412874243833</v>
      </c>
      <c r="K65" s="59">
        <f>D65/B65*100</f>
        <v>195.57349079958055</v>
      </c>
      <c r="L65" s="59">
        <f>H65/B65*100</f>
        <v>194.1668107067627</v>
      </c>
      <c r="M65" s="146">
        <f>J65/B65*100</f>
        <v>1.4066800928178469</v>
      </c>
      <c r="N65" s="96">
        <f>D65/H65</f>
        <v>1.007244698966304</v>
      </c>
    </row>
    <row r="66" spans="1:14" s="63" customFormat="1" ht="15.75" x14ac:dyDescent="0.25">
      <c r="A66" s="28" t="s">
        <v>278</v>
      </c>
      <c r="B66" s="247">
        <f>B39</f>
        <v>906.92</v>
      </c>
      <c r="C66" s="92">
        <f>B66/B$69</f>
        <v>1.5883495913035796E-3</v>
      </c>
      <c r="D66" s="247">
        <f>D39</f>
        <v>17935.271000000001</v>
      </c>
      <c r="E66" s="59"/>
      <c r="F66" s="59">
        <f>F39</f>
        <v>17935.271000000001</v>
      </c>
      <c r="G66" s="92">
        <f>F66/F$69</f>
        <v>1.5791622265158196E-2</v>
      </c>
      <c r="H66" s="59">
        <f>H39</f>
        <v>10757.020384933036</v>
      </c>
      <c r="I66" s="92">
        <f>H66/H$69</f>
        <v>9.6246356822329415E-3</v>
      </c>
      <c r="J66" s="59">
        <f>J39</f>
        <v>7178.2506150669642</v>
      </c>
      <c r="K66" s="59"/>
      <c r="L66" s="59"/>
      <c r="M66" s="146"/>
      <c r="N66" s="96"/>
    </row>
    <row r="67" spans="1:14" s="63" customFormat="1" ht="15.75" x14ac:dyDescent="0.25">
      <c r="A67" s="28" t="s">
        <v>206</v>
      </c>
      <c r="B67" s="247">
        <f>SUM(B65:B66)</f>
        <v>570982.61300000001</v>
      </c>
      <c r="C67" s="92">
        <f>B67/B$69</f>
        <v>1</v>
      </c>
      <c r="D67" s="247">
        <f>SUM(D65:D66)</f>
        <v>1132852.2039999999</v>
      </c>
      <c r="E67" s="59"/>
      <c r="F67" s="59">
        <f>SUM(F65:F66)</f>
        <v>1132852.2039999999</v>
      </c>
      <c r="G67" s="92">
        <f>F67/F$69</f>
        <v>0.9974521203398562</v>
      </c>
      <c r="H67" s="59">
        <f>SUM(H65:H66)</f>
        <v>1117654.8120975087</v>
      </c>
      <c r="I67" s="92">
        <f>H67/H$69</f>
        <v>1</v>
      </c>
      <c r="J67" s="59">
        <f>SUM(J65:J66)</f>
        <v>15197.391902491348</v>
      </c>
      <c r="K67" s="59">
        <f>D67/B67*100</f>
        <v>198.40397556904239</v>
      </c>
      <c r="L67" s="59">
        <f>H67/B67*100</f>
        <v>195.74235478471718</v>
      </c>
      <c r="M67" s="146">
        <f>J67/B67*100</f>
        <v>2.66162078432524</v>
      </c>
      <c r="N67" s="96">
        <f>D67/H67</f>
        <v>1.0135975721108115</v>
      </c>
    </row>
    <row r="68" spans="1:14" s="63" customFormat="1" x14ac:dyDescent="0.2">
      <c r="A68" s="38" t="s">
        <v>40</v>
      </c>
      <c r="B68" s="248"/>
      <c r="D68" s="248">
        <f>D79</f>
        <v>2893.7439999999997</v>
      </c>
      <c r="F68" s="81">
        <f>D68+E68</f>
        <v>2893.7439999999997</v>
      </c>
      <c r="G68" s="89">
        <f>F68/F$69</f>
        <v>2.5478796601438548E-3</v>
      </c>
      <c r="H68" s="81"/>
      <c r="J68" s="81">
        <f>D68-H68</f>
        <v>2893.7439999999997</v>
      </c>
      <c r="M68" s="83"/>
      <c r="N68" s="83"/>
    </row>
    <row r="69" spans="1:14" s="63" customFormat="1" ht="15.75" x14ac:dyDescent="0.25">
      <c r="A69" s="28" t="s">
        <v>41</v>
      </c>
      <c r="B69" s="256">
        <f>SUM(B67:B68)</f>
        <v>570982.61300000001</v>
      </c>
      <c r="C69" s="186">
        <f>B69/B$69</f>
        <v>1</v>
      </c>
      <c r="D69" s="256">
        <f>SUM(D67:D68)</f>
        <v>1135745.9479999999</v>
      </c>
      <c r="E69" s="59"/>
      <c r="F69" s="59">
        <f>SUM(F67:F68)</f>
        <v>1135745.9479999999</v>
      </c>
      <c r="G69" s="92">
        <f>F69/F$69</f>
        <v>1</v>
      </c>
      <c r="H69" s="59">
        <f>SUM(H67:H68)</f>
        <v>1117654.8120975087</v>
      </c>
      <c r="I69" s="92">
        <f>H69/H$69</f>
        <v>1</v>
      </c>
      <c r="J69" s="59">
        <f>SUM(J67:J68)</f>
        <v>18091.135902491347</v>
      </c>
      <c r="K69" s="59">
        <f>D69/B69*100</f>
        <v>198.91077629013546</v>
      </c>
      <c r="L69" s="59">
        <f>H69/B69*100</f>
        <v>195.74235478471718</v>
      </c>
      <c r="M69" s="146">
        <f>J69/B69*100</f>
        <v>3.1684215054183</v>
      </c>
      <c r="N69" s="96">
        <f>D69/H69</f>
        <v>1.016186693518135</v>
      </c>
    </row>
    <row r="70" spans="1:14" s="63" customFormat="1" ht="15.75" x14ac:dyDescent="0.25">
      <c r="A70" s="259" t="s">
        <v>300</v>
      </c>
      <c r="B70" s="267">
        <f>+'[3]PRC RPW'!$G$75</f>
        <v>570982.61300000001</v>
      </c>
      <c r="C70" s="264"/>
      <c r="D70" s="267">
        <f>+'[3]PRC RPW'!$B$75</f>
        <v>1135745.9479999999</v>
      </c>
      <c r="H70" s="59"/>
      <c r="I70" s="81"/>
      <c r="J70" s="59">
        <f>H69+J69</f>
        <v>1135745.9480000001</v>
      </c>
    </row>
    <row r="71" spans="1:14" s="63" customFormat="1" ht="15.75" x14ac:dyDescent="0.25">
      <c r="A71" s="265"/>
      <c r="B71" s="253">
        <f>+B69-B70</f>
        <v>0</v>
      </c>
      <c r="C71" s="213"/>
      <c r="D71" s="253">
        <f>+D69-D70</f>
        <v>0</v>
      </c>
      <c r="F71" s="81"/>
      <c r="G71" s="81"/>
      <c r="H71" s="81"/>
      <c r="I71" s="81"/>
      <c r="J71" s="59"/>
    </row>
    <row r="72" spans="1:14" s="63" customFormat="1" ht="15.75" x14ac:dyDescent="0.25">
      <c r="A72" s="76" t="s">
        <v>207</v>
      </c>
      <c r="B72" s="248"/>
      <c r="D72" s="248"/>
      <c r="F72" s="81"/>
      <c r="G72" s="81"/>
      <c r="H72" s="81">
        <f>FCM!H94+Standard!H110+'Package Services'!H38</f>
        <v>108.38991697591695</v>
      </c>
      <c r="I72" s="81"/>
    </row>
    <row r="73" spans="1:14" s="63" customFormat="1" x14ac:dyDescent="0.2">
      <c r="A73" s="38" t="s">
        <v>116</v>
      </c>
      <c r="B73" s="248">
        <f>+'[3]Summary Category RPW Data'!$E$174/1000</f>
        <v>234.78</v>
      </c>
      <c r="C73" s="81"/>
      <c r="D73" s="248">
        <f>+'[3]Summary Category RPW Data'!$C$174/1000</f>
        <v>131.328</v>
      </c>
      <c r="H73" s="81"/>
      <c r="I73" s="81"/>
    </row>
    <row r="74" spans="1:14" s="63" customFormat="1" x14ac:dyDescent="0.2">
      <c r="A74" s="38" t="s">
        <v>182</v>
      </c>
      <c r="B74" s="248"/>
      <c r="C74" s="81"/>
      <c r="D74" s="248">
        <f>+'[3]Summary Category RPW Data'!$C$172/1000</f>
        <v>1787.5409999999999</v>
      </c>
      <c r="H74" s="81"/>
      <c r="I74" s="81"/>
    </row>
    <row r="75" spans="1:14" s="63" customFormat="1" x14ac:dyDescent="0.2">
      <c r="A75" s="38" t="s">
        <v>121</v>
      </c>
      <c r="B75" s="248"/>
      <c r="C75" s="81"/>
      <c r="D75" s="248">
        <f>+'[3]Summary Category RPW Data'!$C$173/1000</f>
        <v>857.41600000000005</v>
      </c>
      <c r="H75" s="81"/>
      <c r="I75" s="81"/>
    </row>
    <row r="76" spans="1:14" s="63" customFormat="1" x14ac:dyDescent="0.2">
      <c r="A76" s="38" t="s">
        <v>117</v>
      </c>
      <c r="B76" s="248">
        <v>0</v>
      </c>
      <c r="C76" s="81"/>
      <c r="D76" s="248">
        <v>0</v>
      </c>
      <c r="H76" s="81"/>
      <c r="I76" s="81"/>
    </row>
    <row r="77" spans="1:14" s="63" customFormat="1" x14ac:dyDescent="0.2">
      <c r="A77" s="38" t="s">
        <v>208</v>
      </c>
      <c r="B77" s="248">
        <f>+'[3]Summary Category RPW Data'!$E$175/1000</f>
        <v>44.469000000000001</v>
      </c>
      <c r="C77" s="81"/>
      <c r="D77" s="248">
        <f>+'[3]Summary Category RPW Data'!$C$175/1000</f>
        <v>46.683</v>
      </c>
      <c r="H77" s="81"/>
      <c r="I77" s="81"/>
    </row>
    <row r="78" spans="1:14" s="63" customFormat="1" x14ac:dyDescent="0.2">
      <c r="A78" s="38" t="s">
        <v>118</v>
      </c>
      <c r="B78" s="248">
        <f>+'[3]Summary Category RPW Data'!$E$176/1000</f>
        <v>7.9770000000000003</v>
      </c>
      <c r="C78" s="81"/>
      <c r="D78" s="248">
        <f>+'[3]Summary Category RPW Data'!$C$176/1000</f>
        <v>70.775999999999996</v>
      </c>
      <c r="H78" s="81"/>
      <c r="I78" s="81"/>
    </row>
    <row r="79" spans="1:14" s="63" customFormat="1" ht="15" customHeight="1" x14ac:dyDescent="0.25">
      <c r="A79" s="27" t="s">
        <v>209</v>
      </c>
      <c r="B79" s="247">
        <f>SUM(B73:B78)</f>
        <v>287.226</v>
      </c>
      <c r="C79" s="59"/>
      <c r="D79" s="247">
        <f>SUM(D73:D78)</f>
        <v>2893.7439999999997</v>
      </c>
      <c r="H79" s="81"/>
      <c r="I79" s="81"/>
    </row>
    <row r="80" spans="1:14" x14ac:dyDescent="0.2">
      <c r="D80" s="268"/>
      <c r="H80" s="12"/>
      <c r="I80" s="12"/>
    </row>
    <row r="81" spans="1:11" ht="15.75" x14ac:dyDescent="0.25">
      <c r="A81" s="201"/>
      <c r="D81" s="63"/>
      <c r="E81" s="63"/>
      <c r="F81" s="63"/>
      <c r="G81" s="63"/>
      <c r="H81" s="146" t="s">
        <v>14</v>
      </c>
      <c r="I81" s="39"/>
      <c r="J81" s="39"/>
      <c r="K81" s="39"/>
    </row>
    <row r="82" spans="1:11" ht="15.75" x14ac:dyDescent="0.25">
      <c r="A82" s="202"/>
      <c r="D82" s="76" t="s">
        <v>293</v>
      </c>
      <c r="E82" s="63"/>
      <c r="F82" s="63"/>
      <c r="G82" s="63"/>
      <c r="H82" s="72" t="s">
        <v>1</v>
      </c>
      <c r="I82" s="39"/>
      <c r="J82" s="39"/>
      <c r="K82" s="39"/>
    </row>
    <row r="83" spans="1:11" x14ac:dyDescent="0.2">
      <c r="A83" s="39"/>
      <c r="D83" s="63" t="s">
        <v>291</v>
      </c>
      <c r="E83" s="63"/>
      <c r="F83" s="63"/>
      <c r="G83" s="63"/>
      <c r="H83" s="198">
        <f>+[8]Cost1!$D$64*1000</f>
        <v>10756.145909557197</v>
      </c>
      <c r="I83" s="42"/>
      <c r="J83" s="39"/>
      <c r="K83" s="39"/>
    </row>
    <row r="84" spans="1:11" x14ac:dyDescent="0.2">
      <c r="A84" s="39"/>
      <c r="D84" s="124" t="s">
        <v>292</v>
      </c>
      <c r="E84" s="124"/>
      <c r="F84" s="124"/>
      <c r="G84" s="124"/>
      <c r="H84" s="84">
        <f>H37-H83</f>
        <v>0</v>
      </c>
      <c r="I84" s="42"/>
      <c r="J84" s="39"/>
      <c r="K84" s="39"/>
    </row>
    <row r="85" spans="1:11" ht="15.75" x14ac:dyDescent="0.25">
      <c r="A85" s="201"/>
      <c r="B85" s="39"/>
      <c r="C85" s="39"/>
      <c r="D85" s="39"/>
      <c r="E85" s="39"/>
      <c r="F85" s="39"/>
      <c r="G85" s="39"/>
      <c r="H85" s="40"/>
      <c r="I85" s="40"/>
      <c r="J85" s="202"/>
      <c r="K85" s="39"/>
    </row>
    <row r="86" spans="1:1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</row>
    <row r="87" spans="1:11" x14ac:dyDescent="0.2">
      <c r="A87" s="203"/>
      <c r="B87" s="39"/>
      <c r="C87" s="39"/>
      <c r="D87" s="39"/>
      <c r="E87" s="39"/>
      <c r="F87" s="39"/>
      <c r="G87" s="39"/>
      <c r="H87" s="42"/>
      <c r="I87" s="42"/>
      <c r="J87" s="39"/>
      <c r="K87" s="39"/>
    </row>
    <row r="88" spans="1:11" x14ac:dyDescent="0.2">
      <c r="A88" s="203"/>
      <c r="B88" s="39"/>
      <c r="C88" s="39"/>
      <c r="D88" s="39"/>
      <c r="E88" s="39"/>
      <c r="F88" s="39"/>
      <c r="G88" s="39"/>
      <c r="H88" s="42"/>
      <c r="I88" s="42"/>
      <c r="J88" s="39"/>
      <c r="K88" s="39"/>
    </row>
    <row r="89" spans="1:11" ht="15.75" x14ac:dyDescent="0.25">
      <c r="A89" s="201"/>
      <c r="B89" s="39"/>
      <c r="C89" s="39"/>
      <c r="D89" s="39"/>
      <c r="E89" s="39"/>
      <c r="F89" s="39"/>
      <c r="G89" s="39"/>
      <c r="H89" s="40"/>
      <c r="I89" s="40"/>
      <c r="J89" s="202"/>
      <c r="K89" s="39"/>
    </row>
  </sheetData>
  <phoneticPr fontId="19" type="noConversion"/>
  <printOptions horizontalCentered="1" headings="1" gridLines="1"/>
  <pageMargins left="0.25" right="0.25" top="0.5" bottom="0.25" header="0.5" footer="0.5"/>
  <pageSetup scale="5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8"/>
  <sheetViews>
    <sheetView zoomScale="75" zoomScaleNormal="75" workbookViewId="0">
      <selection activeCell="A17" sqref="A17"/>
    </sheetView>
  </sheetViews>
  <sheetFormatPr defaultRowHeight="15" x14ac:dyDescent="0.2"/>
  <cols>
    <col min="1" max="1" width="50" style="1" customWidth="1"/>
    <col min="2" max="2" width="18.85546875" style="63" bestFit="1" customWidth="1"/>
    <col min="3" max="3" width="9.28515625" style="63" bestFit="1" customWidth="1"/>
    <col min="4" max="4" width="19" style="63" customWidth="1"/>
    <col min="5" max="5" width="14.140625" style="63" customWidth="1"/>
    <col min="6" max="6" width="17.42578125" style="63" bestFit="1" customWidth="1"/>
    <col min="7" max="7" width="9.28515625" style="63" bestFit="1" customWidth="1"/>
    <col min="8" max="8" width="17.42578125" style="63" bestFit="1" customWidth="1"/>
    <col min="9" max="9" width="9.28515625" style="63" bestFit="1" customWidth="1"/>
    <col min="10" max="10" width="24" style="63" bestFit="1" customWidth="1"/>
    <col min="11" max="12" width="14" style="1" bestFit="1" customWidth="1"/>
    <col min="13" max="13" width="17.42578125" style="1" bestFit="1" customWidth="1"/>
    <col min="14" max="14" width="11.42578125" style="1" bestFit="1" customWidth="1"/>
    <col min="15" max="16384" width="9.140625" style="1"/>
  </cols>
  <sheetData>
    <row r="1" spans="1:14" ht="15.75" x14ac:dyDescent="0.25">
      <c r="A1" s="60" t="str">
        <f>+Financial_Results!A1</f>
        <v>2013 ACD</v>
      </c>
      <c r="B1" s="103"/>
      <c r="C1" s="103"/>
      <c r="D1" s="103"/>
      <c r="E1" s="103"/>
      <c r="F1" s="148"/>
      <c r="G1" s="148"/>
      <c r="H1" s="148"/>
      <c r="I1" s="148"/>
      <c r="J1" s="148"/>
      <c r="K1" s="26"/>
      <c r="L1" s="26"/>
      <c r="M1" s="26"/>
      <c r="N1" s="26"/>
    </row>
    <row r="2" spans="1:14" ht="15.75" x14ac:dyDescent="0.25">
      <c r="A2" s="98">
        <f ca="1">NOW()</f>
        <v>41706.557639120372</v>
      </c>
      <c r="B2" s="103"/>
      <c r="C2" s="103"/>
      <c r="D2" s="103"/>
      <c r="E2" s="103"/>
      <c r="F2" s="148"/>
      <c r="G2" s="148"/>
      <c r="H2" s="148"/>
      <c r="I2" s="148"/>
      <c r="J2" s="148"/>
      <c r="K2" s="26"/>
      <c r="L2" s="26"/>
      <c r="M2" s="26"/>
      <c r="N2" s="26"/>
    </row>
    <row r="3" spans="1:14" ht="15.75" x14ac:dyDescent="0.25">
      <c r="A3" s="99"/>
      <c r="B3" s="66" t="s">
        <v>321</v>
      </c>
      <c r="C3" s="66"/>
      <c r="D3" s="66"/>
      <c r="E3" s="66"/>
      <c r="F3" s="149"/>
      <c r="G3" s="149"/>
      <c r="H3" s="149"/>
      <c r="I3" s="149"/>
      <c r="J3" s="149"/>
      <c r="K3" s="100"/>
      <c r="L3" s="100"/>
      <c r="M3" s="100"/>
      <c r="N3" s="100"/>
    </row>
    <row r="4" spans="1:14" ht="15.75" x14ac:dyDescent="0.25">
      <c r="A4" s="99"/>
      <c r="B4" s="32" t="s">
        <v>268</v>
      </c>
      <c r="C4" s="32"/>
      <c r="D4" s="32"/>
      <c r="E4" s="32"/>
      <c r="F4" s="149"/>
      <c r="G4" s="149"/>
      <c r="H4" s="149"/>
      <c r="I4" s="149"/>
      <c r="J4" s="149"/>
      <c r="K4" s="100"/>
      <c r="L4" s="100"/>
      <c r="M4" s="100"/>
      <c r="N4" s="100"/>
    </row>
    <row r="5" spans="1:14" ht="15.75" x14ac:dyDescent="0.25">
      <c r="A5" s="101"/>
      <c r="B5" s="32" t="s">
        <v>322</v>
      </c>
      <c r="C5" s="32"/>
      <c r="D5" s="32"/>
      <c r="E5" s="32"/>
      <c r="F5" s="149"/>
      <c r="G5" s="149"/>
      <c r="H5" s="149"/>
      <c r="I5" s="149"/>
      <c r="J5" s="149"/>
      <c r="K5" s="100"/>
      <c r="L5" s="100"/>
      <c r="M5" s="100"/>
      <c r="N5" s="100"/>
    </row>
    <row r="6" spans="1:14" ht="15.75" x14ac:dyDescent="0.25">
      <c r="A6" s="101"/>
      <c r="B6" s="33"/>
      <c r="C6" s="33"/>
      <c r="D6" s="33"/>
      <c r="E6" s="33"/>
      <c r="F6" s="150"/>
      <c r="G6" s="150"/>
      <c r="H6" s="150"/>
      <c r="I6" s="150"/>
      <c r="J6" s="110" t="s">
        <v>13</v>
      </c>
      <c r="K6" s="101"/>
      <c r="L6" s="102"/>
      <c r="M6" s="34" t="s">
        <v>13</v>
      </c>
      <c r="N6" s="102"/>
    </row>
    <row r="7" spans="1:14" ht="15.75" x14ac:dyDescent="0.25">
      <c r="A7" s="26"/>
      <c r="B7" s="79"/>
      <c r="C7" s="79"/>
      <c r="D7" s="70" t="s">
        <v>84</v>
      </c>
      <c r="E7" s="70"/>
      <c r="F7" s="60" t="s">
        <v>12</v>
      </c>
      <c r="G7" s="60"/>
      <c r="H7" s="112" t="s">
        <v>14</v>
      </c>
      <c r="I7" s="112"/>
      <c r="J7" s="110" t="s">
        <v>0</v>
      </c>
      <c r="K7" s="26"/>
      <c r="L7" s="102"/>
      <c r="M7" s="34" t="s">
        <v>0</v>
      </c>
      <c r="N7" s="102"/>
    </row>
    <row r="8" spans="1:14" ht="15.75" x14ac:dyDescent="0.25">
      <c r="A8" s="26"/>
      <c r="B8" s="113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113" t="s">
        <v>1</v>
      </c>
      <c r="I8" s="60" t="s">
        <v>4</v>
      </c>
      <c r="J8" s="110" t="s">
        <v>1</v>
      </c>
      <c r="K8" s="35" t="s">
        <v>15</v>
      </c>
      <c r="L8" s="34" t="s">
        <v>16</v>
      </c>
      <c r="M8" s="34" t="s">
        <v>16</v>
      </c>
      <c r="N8" s="34" t="s">
        <v>1</v>
      </c>
    </row>
    <row r="9" spans="1:14" ht="15.75" x14ac:dyDescent="0.25">
      <c r="A9" s="35" t="s">
        <v>86</v>
      </c>
      <c r="B9" s="114" t="s">
        <v>5</v>
      </c>
      <c r="C9" s="72" t="s">
        <v>7</v>
      </c>
      <c r="D9" s="71" t="s">
        <v>5</v>
      </c>
      <c r="E9" s="71" t="s">
        <v>5</v>
      </c>
      <c r="F9" s="114" t="s">
        <v>5</v>
      </c>
      <c r="G9" s="72" t="s">
        <v>7</v>
      </c>
      <c r="H9" s="114" t="s">
        <v>5</v>
      </c>
      <c r="I9" s="72" t="s">
        <v>7</v>
      </c>
      <c r="J9" s="115" t="s">
        <v>6</v>
      </c>
      <c r="K9" s="37" t="s">
        <v>17</v>
      </c>
      <c r="L9" s="36" t="s">
        <v>17</v>
      </c>
      <c r="M9" s="36" t="s">
        <v>17</v>
      </c>
      <c r="N9" s="36" t="s">
        <v>18</v>
      </c>
    </row>
    <row r="10" spans="1:14" ht="15.75" x14ac:dyDescent="0.25">
      <c r="A10" s="5" t="s">
        <v>20</v>
      </c>
    </row>
    <row r="11" spans="1:14" ht="15.75" x14ac:dyDescent="0.25">
      <c r="A11" s="5"/>
    </row>
    <row r="12" spans="1:14" x14ac:dyDescent="0.2">
      <c r="A12" s="1" t="s">
        <v>42</v>
      </c>
      <c r="B12" s="248">
        <f>+'[3]PRC RPW'!$G$91</f>
        <v>630936.79200000002</v>
      </c>
      <c r="C12" s="89">
        <f>B12/B$16</f>
        <v>0.92038484850948388</v>
      </c>
      <c r="D12" s="248">
        <v>0</v>
      </c>
      <c r="E12" s="248">
        <v>0</v>
      </c>
      <c r="F12" s="248">
        <v>0</v>
      </c>
      <c r="G12" s="248">
        <v>0</v>
      </c>
      <c r="H12" s="248"/>
      <c r="I12" s="248"/>
      <c r="J12" s="248"/>
      <c r="K12" s="268"/>
      <c r="L12" s="268"/>
      <c r="M12" s="268"/>
      <c r="N12" s="268"/>
    </row>
    <row r="13" spans="1:14" x14ac:dyDescent="0.2">
      <c r="B13" s="248"/>
      <c r="D13" s="248"/>
      <c r="E13" s="248"/>
      <c r="F13" s="248"/>
      <c r="G13" s="248"/>
      <c r="H13" s="248"/>
      <c r="I13" s="248"/>
      <c r="J13" s="248"/>
      <c r="K13" s="268"/>
      <c r="L13" s="268"/>
      <c r="M13" s="268"/>
      <c r="N13" s="268"/>
    </row>
    <row r="14" spans="1:14" x14ac:dyDescent="0.2">
      <c r="A14" s="1" t="s">
        <v>43</v>
      </c>
      <c r="B14" s="248">
        <f>+'[3]PRC RPW'!$G$93</f>
        <v>54577.309000000001</v>
      </c>
      <c r="C14" s="89">
        <f>B14/B$16</f>
        <v>7.9615151490516164E-2</v>
      </c>
      <c r="D14" s="248">
        <v>0</v>
      </c>
      <c r="E14" s="248">
        <v>0</v>
      </c>
      <c r="F14" s="248">
        <v>0</v>
      </c>
      <c r="G14" s="248">
        <v>0</v>
      </c>
      <c r="H14" s="255">
        <f>+[4]CS21!$N$43+[4]CS21!$M$43</f>
        <v>38462.434991520808</v>
      </c>
      <c r="I14" s="248"/>
      <c r="J14" s="248">
        <f>D14-H14</f>
        <v>-38462.434991520808</v>
      </c>
      <c r="K14" s="268">
        <v>0</v>
      </c>
      <c r="L14" s="268">
        <f>H14/B14*100</f>
        <v>70.473307856788622</v>
      </c>
      <c r="M14" s="268">
        <f>+J14/B14*100</f>
        <v>-70.473307856788622</v>
      </c>
      <c r="N14" s="268">
        <v>0</v>
      </c>
    </row>
    <row r="15" spans="1:14" ht="15.75" thickBot="1" x14ac:dyDescent="0.25">
      <c r="A15" s="347"/>
      <c r="B15" s="335"/>
      <c r="C15" s="401"/>
      <c r="D15" s="335"/>
      <c r="E15" s="335"/>
      <c r="F15" s="335"/>
      <c r="G15" s="335"/>
      <c r="H15" s="335"/>
      <c r="I15" s="335"/>
      <c r="J15" s="335"/>
      <c r="K15" s="349"/>
      <c r="L15" s="349"/>
      <c r="M15" s="349"/>
      <c r="N15" s="349"/>
    </row>
    <row r="16" spans="1:14" ht="16.5" thickTop="1" x14ac:dyDescent="0.25">
      <c r="A16" s="29" t="s">
        <v>269</v>
      </c>
      <c r="B16" s="247">
        <f>B12+B14</f>
        <v>685514.10100000002</v>
      </c>
      <c r="C16" s="92">
        <f>B16/B$16</f>
        <v>1</v>
      </c>
      <c r="D16" s="248">
        <v>0</v>
      </c>
      <c r="E16" s="248">
        <v>0</v>
      </c>
      <c r="F16" s="248">
        <v>0</v>
      </c>
      <c r="G16" s="248">
        <v>0</v>
      </c>
      <c r="H16" s="247">
        <f>H12+H14</f>
        <v>38462.434991520808</v>
      </c>
      <c r="I16" s="248"/>
      <c r="J16" s="247">
        <f>J12+J14</f>
        <v>-38462.434991520808</v>
      </c>
      <c r="K16" s="268">
        <v>0</v>
      </c>
      <c r="L16" s="268">
        <v>0</v>
      </c>
      <c r="M16" s="268">
        <v>0</v>
      </c>
      <c r="N16" s="268">
        <v>0</v>
      </c>
    </row>
    <row r="17" spans="1:8" ht="15.75" x14ac:dyDescent="0.25">
      <c r="A17" s="260" t="s">
        <v>393</v>
      </c>
      <c r="B17" s="261">
        <f>+'[3]PRC RPW'!$G$91+'[3]PRC RPW'!$G$93-B16</f>
        <v>0</v>
      </c>
      <c r="C17" s="73"/>
      <c r="D17" s="178"/>
      <c r="H17" s="261">
        <f>+[8]Cost2!$D$12*1000-H16</f>
        <v>0</v>
      </c>
    </row>
    <row r="18" spans="1:8" x14ac:dyDescent="0.2">
      <c r="A18" s="260"/>
      <c r="B18" s="253"/>
      <c r="H18" s="263"/>
    </row>
  </sheetData>
  <printOptions horizontalCentered="1" headings="1" gridLines="1"/>
  <pageMargins left="0.25" right="0.25" top="0.5" bottom="0.25" header="0.3" footer="0.3"/>
  <pageSetup scale="5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pageSetUpPr fitToPage="1"/>
  </sheetPr>
  <dimension ref="A1:N118"/>
  <sheetViews>
    <sheetView zoomScale="85" zoomScaleNormal="85" zoomScaleSheetLayoutView="85" workbookViewId="0">
      <pane ySplit="10" topLeftCell="A65" activePane="bottomLeft" state="frozen"/>
      <selection pane="bottomLeft" activeCell="A73" sqref="A73"/>
    </sheetView>
  </sheetViews>
  <sheetFormatPr defaultColWidth="8.85546875" defaultRowHeight="15" x14ac:dyDescent="0.2"/>
  <cols>
    <col min="1" max="1" width="61.140625" style="63" customWidth="1"/>
    <col min="2" max="2" width="19.5703125" style="63" customWidth="1"/>
    <col min="3" max="3" width="9.42578125" style="63" bestFit="1" customWidth="1"/>
    <col min="4" max="4" width="21.5703125" style="63" customWidth="1"/>
    <col min="5" max="5" width="8.7109375" style="63" customWidth="1"/>
    <col min="6" max="6" width="19.140625" style="63" bestFit="1" customWidth="1"/>
    <col min="7" max="7" width="9.28515625" style="63" bestFit="1" customWidth="1"/>
    <col min="8" max="8" width="21.7109375" style="63" bestFit="1" customWidth="1"/>
    <col min="9" max="9" width="9.28515625" style="63" bestFit="1" customWidth="1"/>
    <col min="10" max="10" width="17.28515625" style="63" bestFit="1" customWidth="1"/>
    <col min="11" max="11" width="14" style="63" bestFit="1" customWidth="1"/>
    <col min="12" max="12" width="15.42578125" style="63" bestFit="1" customWidth="1"/>
    <col min="13" max="13" width="17.42578125" style="63" bestFit="1" customWidth="1"/>
    <col min="14" max="14" width="11.85546875" style="63" bestFit="1" customWidth="1"/>
    <col min="15" max="15" width="8.85546875" style="63" customWidth="1"/>
    <col min="16" max="16384" width="8.85546875" style="63"/>
  </cols>
  <sheetData>
    <row r="1" spans="1:14" ht="15.75" x14ac:dyDescent="0.25">
      <c r="A1" s="60" t="str">
        <f>+Financial_Results!A1</f>
        <v>2013 ACD</v>
      </c>
      <c r="B1" s="73"/>
      <c r="C1" s="73"/>
      <c r="D1" s="73"/>
      <c r="E1" s="73"/>
      <c r="F1" s="62"/>
      <c r="G1" s="62"/>
      <c r="H1" s="62"/>
      <c r="I1" s="62"/>
      <c r="J1" s="62"/>
    </row>
    <row r="2" spans="1:14" ht="15.75" x14ac:dyDescent="0.25">
      <c r="A2" s="64">
        <f ca="1">NOW()</f>
        <v>41706.557639120372</v>
      </c>
      <c r="B2" s="73"/>
      <c r="C2" s="73"/>
      <c r="D2" s="73"/>
      <c r="E2" s="73"/>
      <c r="F2" s="62"/>
      <c r="G2" s="62"/>
      <c r="H2" s="62"/>
      <c r="I2" s="62"/>
      <c r="J2" s="62"/>
    </row>
    <row r="3" spans="1:14" ht="15.75" x14ac:dyDescent="0.25">
      <c r="A3" s="65"/>
      <c r="B3" s="66" t="s">
        <v>387</v>
      </c>
      <c r="C3" s="66"/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</row>
    <row r="4" spans="1:14" ht="15.75" x14ac:dyDescent="0.25">
      <c r="A4" s="65"/>
      <c r="B4" s="18" t="s">
        <v>210</v>
      </c>
      <c r="C4" s="18"/>
      <c r="D4" s="18"/>
      <c r="E4" s="18"/>
      <c r="F4" s="67"/>
      <c r="G4" s="67"/>
      <c r="H4" s="67"/>
      <c r="I4" s="67"/>
      <c r="J4" s="67"/>
      <c r="K4" s="67"/>
      <c r="L4" s="67"/>
      <c r="M4" s="67"/>
      <c r="N4" s="67"/>
    </row>
    <row r="5" spans="1:14" ht="15.75" x14ac:dyDescent="0.25">
      <c r="A5" s="68"/>
      <c r="B5" s="18" t="s">
        <v>322</v>
      </c>
      <c r="C5" s="18"/>
      <c r="D5" s="18"/>
      <c r="E5" s="18"/>
      <c r="F5" s="67"/>
      <c r="G5" s="67"/>
      <c r="H5" s="67"/>
      <c r="I5" s="67"/>
      <c r="J5" s="67"/>
      <c r="K5" s="67"/>
      <c r="L5" s="67"/>
      <c r="M5" s="67"/>
      <c r="N5" s="67"/>
    </row>
    <row r="6" spans="1:14" ht="15.75" x14ac:dyDescent="0.25">
      <c r="A6" s="68"/>
      <c r="B6" s="20"/>
      <c r="C6" s="20"/>
      <c r="D6" s="20"/>
      <c r="E6" s="20"/>
      <c r="F6" s="69"/>
      <c r="G6" s="69"/>
      <c r="H6" s="69"/>
      <c r="I6" s="69"/>
      <c r="J6" s="135" t="s">
        <v>13</v>
      </c>
      <c r="K6" s="68"/>
      <c r="L6" s="136"/>
      <c r="M6" s="135" t="s">
        <v>13</v>
      </c>
      <c r="N6" s="136"/>
    </row>
    <row r="7" spans="1:14" ht="15.75" x14ac:dyDescent="0.25">
      <c r="D7" s="70" t="s">
        <v>84</v>
      </c>
      <c r="E7" s="70"/>
      <c r="F7" s="60" t="s">
        <v>12</v>
      </c>
      <c r="G7" s="60"/>
      <c r="H7" s="70" t="s">
        <v>14</v>
      </c>
      <c r="I7" s="70"/>
      <c r="J7" s="135" t="s">
        <v>0</v>
      </c>
      <c r="L7" s="136"/>
      <c r="M7" s="135" t="s">
        <v>0</v>
      </c>
      <c r="N7" s="136"/>
    </row>
    <row r="8" spans="1:14" ht="15.75" x14ac:dyDescent="0.25">
      <c r="B8" s="60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60" t="s">
        <v>1</v>
      </c>
      <c r="I8" s="60" t="s">
        <v>4</v>
      </c>
      <c r="J8" s="135" t="s">
        <v>1</v>
      </c>
      <c r="K8" s="60" t="s">
        <v>15</v>
      </c>
      <c r="L8" s="135" t="s">
        <v>16</v>
      </c>
      <c r="M8" s="135" t="s">
        <v>16</v>
      </c>
      <c r="N8" s="135" t="s">
        <v>1</v>
      </c>
    </row>
    <row r="9" spans="1:14" ht="15.75" x14ac:dyDescent="0.25">
      <c r="A9" s="60" t="s">
        <v>86</v>
      </c>
      <c r="B9" s="71" t="s">
        <v>5</v>
      </c>
      <c r="C9" s="72" t="s">
        <v>7</v>
      </c>
      <c r="D9" s="71" t="s">
        <v>5</v>
      </c>
      <c r="E9" s="71" t="s">
        <v>5</v>
      </c>
      <c r="F9" s="71" t="s">
        <v>5</v>
      </c>
      <c r="G9" s="72" t="s">
        <v>7</v>
      </c>
      <c r="H9" s="71" t="s">
        <v>5</v>
      </c>
      <c r="I9" s="72" t="s">
        <v>7</v>
      </c>
      <c r="J9" s="137" t="s">
        <v>6</v>
      </c>
      <c r="K9" s="72" t="s">
        <v>17</v>
      </c>
      <c r="L9" s="137" t="s">
        <v>17</v>
      </c>
      <c r="M9" s="137" t="s">
        <v>17</v>
      </c>
      <c r="N9" s="137" t="s">
        <v>18</v>
      </c>
    </row>
    <row r="10" spans="1:14" ht="15.75" x14ac:dyDescent="0.25">
      <c r="A10" s="140" t="s">
        <v>352</v>
      </c>
      <c r="B10" s="74"/>
      <c r="C10" s="75"/>
      <c r="D10" s="74"/>
      <c r="E10" s="74"/>
      <c r="F10" s="74"/>
      <c r="G10" s="75"/>
      <c r="H10" s="74"/>
      <c r="I10" s="75"/>
      <c r="J10" s="138"/>
      <c r="K10" s="75"/>
      <c r="L10" s="138"/>
      <c r="M10" s="138"/>
      <c r="N10" s="138"/>
    </row>
    <row r="11" spans="1:14" ht="15.75" x14ac:dyDescent="0.25">
      <c r="A11" s="73" t="s">
        <v>211</v>
      </c>
      <c r="B11" s="221"/>
      <c r="C11" s="221"/>
      <c r="D11" s="221"/>
      <c r="E11" s="221"/>
      <c r="F11" s="221"/>
      <c r="G11" s="221"/>
      <c r="H11" s="221"/>
      <c r="I11" s="221"/>
      <c r="J11" s="138"/>
      <c r="K11" s="75"/>
      <c r="L11" s="138"/>
      <c r="M11" s="138"/>
      <c r="N11" s="138"/>
    </row>
    <row r="12" spans="1:14" x14ac:dyDescent="0.2">
      <c r="A12" s="41" t="s">
        <v>46</v>
      </c>
      <c r="B12" s="188">
        <f>+B50</f>
        <v>233944.69399999999</v>
      </c>
      <c r="C12" s="250">
        <f t="shared" ref="C12:C20" si="0">+B12/$B$40</f>
        <v>7.9619321882963418E-2</v>
      </c>
      <c r="D12" s="188">
        <f>+D50</f>
        <v>714989.48899999994</v>
      </c>
      <c r="E12" s="188">
        <v>0</v>
      </c>
      <c r="F12" s="188">
        <f>+D12+E12</f>
        <v>714989.48899999994</v>
      </c>
      <c r="G12" s="250">
        <f t="shared" ref="G12:G20" si="1">+F12/$F$40</f>
        <v>0.34886451494182086</v>
      </c>
      <c r="H12" s="188">
        <f>+H50</f>
        <v>535194.07839535491</v>
      </c>
      <c r="I12" s="250">
        <f t="shared" ref="I12:I20" si="2">+H12/$H$40</f>
        <v>0.39763009830770035</v>
      </c>
      <c r="J12" s="380">
        <f>+F12-H12</f>
        <v>179795.41060464503</v>
      </c>
      <c r="K12" s="380">
        <f>+F12/B12*100</f>
        <v>305.62329787227401</v>
      </c>
      <c r="L12" s="380">
        <f>+H12/B12*100</f>
        <v>228.76948788389916</v>
      </c>
      <c r="M12" s="380">
        <f>+J12/B12*100</f>
        <v>76.853809988374877</v>
      </c>
      <c r="N12" s="382">
        <f>+F12/H12</f>
        <v>1.3359443197572671</v>
      </c>
    </row>
    <row r="13" spans="1:14" x14ac:dyDescent="0.2">
      <c r="A13" s="41" t="s">
        <v>47</v>
      </c>
      <c r="B13" s="188">
        <f t="shared" ref="B13:D17" si="3">+B51</f>
        <v>486.41199999999998</v>
      </c>
      <c r="C13" s="250">
        <f t="shared" si="0"/>
        <v>1.6554251747952019E-4</v>
      </c>
      <c r="D13" s="188">
        <f t="shared" si="3"/>
        <v>4431.6480000000001</v>
      </c>
      <c r="E13" s="188">
        <v>0</v>
      </c>
      <c r="F13" s="188">
        <f t="shared" ref="F13:F40" si="4">+D13+E13</f>
        <v>4431.6480000000001</v>
      </c>
      <c r="G13" s="250">
        <f t="shared" si="1"/>
        <v>2.1623321093506183E-3</v>
      </c>
      <c r="H13" s="188">
        <f t="shared" ref="H13:H18" si="5">+H51</f>
        <v>3700.9091975523306</v>
      </c>
      <c r="I13" s="250">
        <f t="shared" si="2"/>
        <v>2.7496434423617084E-3</v>
      </c>
      <c r="J13" s="380">
        <f t="shared" ref="J13:J20" si="6">+F13-H13</f>
        <v>730.73880244766951</v>
      </c>
      <c r="K13" s="380">
        <f t="shared" ref="K13:K20" si="7">+F13/B13*100</f>
        <v>911.0893645715978</v>
      </c>
      <c r="L13" s="380">
        <f t="shared" ref="L13:L20" si="8">+H13/B13*100</f>
        <v>760.85894212156177</v>
      </c>
      <c r="M13" s="380">
        <f t="shared" ref="M13:M20" si="9">+J13/B13*100</f>
        <v>150.23042245003609</v>
      </c>
      <c r="N13" s="382">
        <f t="shared" ref="N13:N20" si="10">+F13/H13</f>
        <v>1.1974484548096878</v>
      </c>
    </row>
    <row r="14" spans="1:14" x14ac:dyDescent="0.2">
      <c r="A14" s="41" t="s">
        <v>48</v>
      </c>
      <c r="B14" s="188">
        <f t="shared" si="3"/>
        <v>28079.599999999999</v>
      </c>
      <c r="C14" s="250">
        <f t="shared" si="0"/>
        <v>9.5564411935107185E-3</v>
      </c>
      <c r="D14" s="188">
        <f t="shared" si="3"/>
        <v>108436.587</v>
      </c>
      <c r="E14" s="188">
        <v>0</v>
      </c>
      <c r="F14" s="188">
        <f t="shared" si="4"/>
        <v>108436.587</v>
      </c>
      <c r="G14" s="250">
        <f t="shared" si="1"/>
        <v>5.2909417421801511E-2</v>
      </c>
      <c r="H14" s="188">
        <f t="shared" si="5"/>
        <v>75780.379868900272</v>
      </c>
      <c r="I14" s="250">
        <f t="shared" si="2"/>
        <v>5.6302117518584306E-2</v>
      </c>
      <c r="J14" s="380">
        <f t="shared" si="6"/>
        <v>32656.207131099727</v>
      </c>
      <c r="K14" s="380">
        <f t="shared" si="7"/>
        <v>386.17568270203282</v>
      </c>
      <c r="L14" s="380">
        <f t="shared" si="8"/>
        <v>269.8769920828654</v>
      </c>
      <c r="M14" s="380">
        <f t="shared" si="9"/>
        <v>116.2986906191674</v>
      </c>
      <c r="N14" s="382">
        <f t="shared" si="10"/>
        <v>1.4309322173839036</v>
      </c>
    </row>
    <row r="15" spans="1:14" x14ac:dyDescent="0.2">
      <c r="A15" s="41" t="s">
        <v>49</v>
      </c>
      <c r="B15" s="188">
        <f t="shared" si="3"/>
        <v>2238.4830000000002</v>
      </c>
      <c r="C15" s="250">
        <f t="shared" si="0"/>
        <v>7.618317622819932E-4</v>
      </c>
      <c r="D15" s="188">
        <f t="shared" si="3"/>
        <v>35464.857000000004</v>
      </c>
      <c r="E15" s="188">
        <v>0</v>
      </c>
      <c r="F15" s="188">
        <f t="shared" si="4"/>
        <v>35464.857000000004</v>
      </c>
      <c r="G15" s="250">
        <f t="shared" si="1"/>
        <v>1.7304352476692202E-2</v>
      </c>
      <c r="H15" s="188">
        <f t="shared" si="5"/>
        <v>27982.15417171588</v>
      </c>
      <c r="I15" s="250">
        <f t="shared" si="2"/>
        <v>2.0789741821360896E-2</v>
      </c>
      <c r="J15" s="380">
        <f t="shared" si="6"/>
        <v>7482.7028282841238</v>
      </c>
      <c r="K15" s="380">
        <f t="shared" si="7"/>
        <v>1584.325500796745</v>
      </c>
      <c r="L15" s="380">
        <f t="shared" si="8"/>
        <v>1250.0498851997481</v>
      </c>
      <c r="M15" s="380">
        <f t="shared" si="9"/>
        <v>334.27561559699683</v>
      </c>
      <c r="N15" s="382">
        <f t="shared" si="10"/>
        <v>1.2674098206437436</v>
      </c>
    </row>
    <row r="16" spans="1:14" x14ac:dyDescent="0.2">
      <c r="A16" s="41" t="s">
        <v>50</v>
      </c>
      <c r="B16" s="188">
        <f t="shared" si="3"/>
        <v>0</v>
      </c>
      <c r="C16" s="188">
        <f t="shared" si="0"/>
        <v>0</v>
      </c>
      <c r="D16" s="188">
        <f t="shared" si="3"/>
        <v>10909.6</v>
      </c>
      <c r="E16" s="188">
        <v>0</v>
      </c>
      <c r="F16" s="188">
        <f t="shared" si="4"/>
        <v>10909.6</v>
      </c>
      <c r="G16" s="250">
        <f t="shared" si="1"/>
        <v>5.3231164524284204E-3</v>
      </c>
      <c r="H16" s="188">
        <f t="shared" si="5"/>
        <v>6476.2298819551252</v>
      </c>
      <c r="I16" s="250">
        <f t="shared" si="2"/>
        <v>4.8116076552005317E-3</v>
      </c>
      <c r="J16" s="380">
        <f t="shared" si="6"/>
        <v>4433.3701180448752</v>
      </c>
      <c r="K16" s="380">
        <v>0</v>
      </c>
      <c r="L16" s="380">
        <v>0</v>
      </c>
      <c r="M16" s="380">
        <v>0</v>
      </c>
      <c r="N16" s="382">
        <f t="shared" si="10"/>
        <v>1.684560338167995</v>
      </c>
    </row>
    <row r="17" spans="1:14" x14ac:dyDescent="0.2">
      <c r="A17" s="41" t="s">
        <v>51</v>
      </c>
      <c r="B17" s="188">
        <f t="shared" si="3"/>
        <v>34647.199999999997</v>
      </c>
      <c r="C17" s="188">
        <f t="shared" si="0"/>
        <v>1.179161844612475E-2</v>
      </c>
      <c r="D17" s="188">
        <f t="shared" si="3"/>
        <v>1385.8879999999999</v>
      </c>
      <c r="E17" s="188">
        <v>0</v>
      </c>
      <c r="F17" s="188">
        <f t="shared" si="4"/>
        <v>1385.8879999999999</v>
      </c>
      <c r="G17" s="250">
        <f t="shared" si="1"/>
        <v>6.7621573788435125E-4</v>
      </c>
      <c r="H17" s="188">
        <f t="shared" si="5"/>
        <v>451.44672839692521</v>
      </c>
      <c r="I17" s="250">
        <f t="shared" si="2"/>
        <v>3.3540880633689215E-4</v>
      </c>
      <c r="J17" s="380">
        <f t="shared" si="6"/>
        <v>934.44127160307471</v>
      </c>
      <c r="K17" s="380">
        <v>0</v>
      </c>
      <c r="L17" s="380">
        <v>0</v>
      </c>
      <c r="M17" s="380">
        <v>0</v>
      </c>
      <c r="N17" s="382">
        <f t="shared" si="10"/>
        <v>3.0698815891771987</v>
      </c>
    </row>
    <row r="18" spans="1:14" ht="15.75" x14ac:dyDescent="0.25">
      <c r="A18" s="27" t="s">
        <v>213</v>
      </c>
      <c r="B18" s="188">
        <f>0</f>
        <v>0</v>
      </c>
      <c r="C18" s="188">
        <f t="shared" si="0"/>
        <v>0</v>
      </c>
      <c r="D18" s="188">
        <f>+D16+D17</f>
        <v>12295.488000000001</v>
      </c>
      <c r="E18" s="188">
        <v>0</v>
      </c>
      <c r="F18" s="188">
        <f t="shared" si="4"/>
        <v>12295.488000000001</v>
      </c>
      <c r="G18" s="250">
        <f t="shared" si="1"/>
        <v>5.9993321903127721E-3</v>
      </c>
      <c r="H18" s="188">
        <f t="shared" si="5"/>
        <v>6927.6766103520504</v>
      </c>
      <c r="I18" s="250">
        <f t="shared" si="2"/>
        <v>5.1470164615374236E-3</v>
      </c>
      <c r="J18" s="380">
        <f t="shared" si="6"/>
        <v>5367.8113896479508</v>
      </c>
      <c r="K18" s="380">
        <v>0</v>
      </c>
      <c r="L18" s="380">
        <v>0</v>
      </c>
      <c r="M18" s="380">
        <v>0</v>
      </c>
      <c r="N18" s="382">
        <f t="shared" si="10"/>
        <v>1.7748357337619964</v>
      </c>
    </row>
    <row r="19" spans="1:14" ht="15.75" x14ac:dyDescent="0.25">
      <c r="A19" s="119" t="s">
        <v>369</v>
      </c>
      <c r="B19" s="188">
        <f>+B65</f>
        <v>2545871.8159999996</v>
      </c>
      <c r="C19" s="250">
        <f t="shared" si="0"/>
        <v>0.86644661233850684</v>
      </c>
      <c r="D19" s="188">
        <f>+D65</f>
        <v>514790.31000000006</v>
      </c>
      <c r="E19" s="188">
        <v>0</v>
      </c>
      <c r="F19" s="188">
        <f t="shared" si="4"/>
        <v>514790.31000000006</v>
      </c>
      <c r="G19" s="250">
        <f t="shared" si="1"/>
        <v>0.25118141533252614</v>
      </c>
      <c r="H19" s="188">
        <f>+H65</f>
        <v>242626.34501880506</v>
      </c>
      <c r="I19" s="250">
        <f t="shared" si="2"/>
        <v>0.18026271462330667</v>
      </c>
      <c r="J19" s="380">
        <f t="shared" si="6"/>
        <v>272163.96498119499</v>
      </c>
      <c r="K19" s="380">
        <f t="shared" si="7"/>
        <v>20.220590320561531</v>
      </c>
      <c r="L19" s="380">
        <f t="shared" si="8"/>
        <v>9.5301870068231711</v>
      </c>
      <c r="M19" s="380">
        <f t="shared" si="9"/>
        <v>10.690403313738363</v>
      </c>
      <c r="N19" s="382">
        <f t="shared" si="10"/>
        <v>2.1217411899771252</v>
      </c>
    </row>
    <row r="20" spans="1:14" ht="15.75" x14ac:dyDescent="0.25">
      <c r="A20" s="193" t="s">
        <v>53</v>
      </c>
      <c r="B20" s="188">
        <f>+B19+B18+B15+B14+B13+B12</f>
        <v>2810621.0049999999</v>
      </c>
      <c r="C20" s="250">
        <f t="shared" si="0"/>
        <v>0.9565497496947426</v>
      </c>
      <c r="D20" s="188">
        <f>+D19+D18+D15+D14+D13+D12</f>
        <v>1390408.3790000002</v>
      </c>
      <c r="E20" s="188">
        <v>0</v>
      </c>
      <c r="F20" s="188">
        <f t="shared" si="4"/>
        <v>1390408.3790000002</v>
      </c>
      <c r="G20" s="250">
        <f t="shared" si="1"/>
        <v>0.67842136447250423</v>
      </c>
      <c r="H20" s="188">
        <f>+H66</f>
        <v>892211.54326268053</v>
      </c>
      <c r="I20" s="250">
        <f t="shared" si="2"/>
        <v>0.66288133217485135</v>
      </c>
      <c r="J20" s="380">
        <f t="shared" si="6"/>
        <v>498196.83573731966</v>
      </c>
      <c r="K20" s="380">
        <f t="shared" si="7"/>
        <v>49.46979249519984</v>
      </c>
      <c r="L20" s="380">
        <f t="shared" si="8"/>
        <v>31.744285041471841</v>
      </c>
      <c r="M20" s="380">
        <f t="shared" si="9"/>
        <v>17.725507453727996</v>
      </c>
      <c r="N20" s="382">
        <f t="shared" si="10"/>
        <v>1.5583842077580508</v>
      </c>
    </row>
    <row r="21" spans="1:14" ht="15.75" x14ac:dyDescent="0.25">
      <c r="A21" s="28" t="s">
        <v>222</v>
      </c>
      <c r="B21" s="188"/>
      <c r="C21" s="188"/>
      <c r="D21" s="188"/>
      <c r="E21" s="188"/>
      <c r="F21" s="188"/>
      <c r="G21" s="188"/>
      <c r="H21" s="188"/>
      <c r="I21" s="188"/>
      <c r="J21" s="380"/>
      <c r="K21" s="380"/>
      <c r="L21" s="380"/>
      <c r="M21" s="380"/>
      <c r="N21" s="380"/>
    </row>
    <row r="22" spans="1:14" x14ac:dyDescent="0.2">
      <c r="A22" s="41" t="s">
        <v>54</v>
      </c>
      <c r="B22" s="188">
        <f>+B68</f>
        <v>102506.936</v>
      </c>
      <c r="C22" s="250">
        <f t="shared" ref="C22:C31" si="11">+B22/$B$40</f>
        <v>3.4886590471764796E-2</v>
      </c>
      <c r="D22" s="188">
        <f>+D68</f>
        <v>154964.98800000001</v>
      </c>
      <c r="E22" s="188">
        <v>0</v>
      </c>
      <c r="F22" s="188">
        <f t="shared" si="4"/>
        <v>154964.98800000001</v>
      </c>
      <c r="G22" s="250">
        <f t="shared" ref="G22:G40" si="12">+F22/$F$40</f>
        <v>7.5612000180865738E-2</v>
      </c>
      <c r="H22" s="188">
        <f>+H68</f>
        <v>103265.92705096357</v>
      </c>
      <c r="I22" s="250">
        <f t="shared" ref="I22:I40" si="13">+H22/$H$40</f>
        <v>7.6722898071337933E-2</v>
      </c>
      <c r="J22" s="380">
        <f t="shared" ref="J22:J31" si="14">+F22-H22</f>
        <v>51699.060949036444</v>
      </c>
      <c r="K22" s="380">
        <f>+D22/B22*100</f>
        <v>151.1751243837783</v>
      </c>
      <c r="L22" s="380">
        <f t="shared" ref="L22:L31" si="15">+H22/B22*100</f>
        <v>100.74042897054652</v>
      </c>
      <c r="M22" s="380">
        <f t="shared" ref="M22:M31" si="16">+J22/B22*100</f>
        <v>50.434695413231786</v>
      </c>
      <c r="N22" s="382">
        <f t="shared" ref="N22:N31" si="17">+F22/H22</f>
        <v>1.5006400700157569</v>
      </c>
    </row>
    <row r="23" spans="1:14" x14ac:dyDescent="0.2">
      <c r="A23" s="41" t="s">
        <v>55</v>
      </c>
      <c r="B23" s="188">
        <f t="shared" ref="B23:D29" si="18">+B69</f>
        <v>0</v>
      </c>
      <c r="C23" s="188">
        <f t="shared" si="11"/>
        <v>0</v>
      </c>
      <c r="D23" s="188">
        <f t="shared" si="18"/>
        <v>358500.07900000003</v>
      </c>
      <c r="E23" s="188">
        <v>0</v>
      </c>
      <c r="F23" s="188">
        <f t="shared" si="4"/>
        <v>358500.07900000003</v>
      </c>
      <c r="G23" s="250">
        <f t="shared" si="12"/>
        <v>0.17492278990263518</v>
      </c>
      <c r="H23" s="188">
        <f t="shared" ref="H23" si="19">+H69</f>
        <v>293935.55257923214</v>
      </c>
      <c r="I23" s="250">
        <f t="shared" si="13"/>
        <v>0.21838362453231269</v>
      </c>
      <c r="J23" s="380">
        <f t="shared" si="14"/>
        <v>64564.526420767885</v>
      </c>
      <c r="K23" s="380">
        <v>0</v>
      </c>
      <c r="L23" s="380">
        <v>0</v>
      </c>
      <c r="M23" s="380">
        <v>0</v>
      </c>
      <c r="N23" s="382">
        <f t="shared" si="17"/>
        <v>1.2196553831417318</v>
      </c>
    </row>
    <row r="24" spans="1:14" x14ac:dyDescent="0.2">
      <c r="A24" s="120" t="s">
        <v>266</v>
      </c>
      <c r="B24" s="188">
        <f t="shared" si="18"/>
        <v>0</v>
      </c>
      <c r="C24" s="188">
        <f t="shared" si="11"/>
        <v>0</v>
      </c>
      <c r="D24" s="188">
        <f t="shared" si="18"/>
        <v>93592.925000000003</v>
      </c>
      <c r="E24" s="188">
        <v>0</v>
      </c>
      <c r="F24" s="188">
        <f t="shared" si="4"/>
        <v>93592.925000000003</v>
      </c>
      <c r="G24" s="250">
        <f t="shared" si="12"/>
        <v>4.566675578375002E-2</v>
      </c>
      <c r="H24" s="188">
        <f t="shared" ref="H24" si="20">+H70</f>
        <v>22755.288870275508</v>
      </c>
      <c r="I24" s="250">
        <f t="shared" si="13"/>
        <v>1.6906367457645437E-2</v>
      </c>
      <c r="J24" s="380">
        <f t="shared" si="14"/>
        <v>70837.636129724502</v>
      </c>
      <c r="K24" s="380">
        <v>0</v>
      </c>
      <c r="L24" s="380">
        <v>0</v>
      </c>
      <c r="M24" s="380">
        <v>0</v>
      </c>
      <c r="N24" s="382">
        <f t="shared" si="17"/>
        <v>4.1130185397144041</v>
      </c>
    </row>
    <row r="25" spans="1:14" x14ac:dyDescent="0.2">
      <c r="A25" s="222" t="s">
        <v>298</v>
      </c>
      <c r="B25" s="188">
        <f t="shared" si="18"/>
        <v>1969.5419999999999</v>
      </c>
      <c r="C25" s="250">
        <f t="shared" si="11"/>
        <v>6.7030200932881832E-4</v>
      </c>
      <c r="D25" s="188">
        <f t="shared" si="18"/>
        <v>16142.687</v>
      </c>
      <c r="E25" s="188">
        <v>0</v>
      </c>
      <c r="F25" s="188">
        <f t="shared" si="4"/>
        <v>16142.687</v>
      </c>
      <c r="G25" s="250">
        <f t="shared" si="12"/>
        <v>7.8764943495730714E-3</v>
      </c>
      <c r="H25" s="188">
        <f t="shared" ref="H25" si="21">+H71</f>
        <v>8427.8180625998139</v>
      </c>
      <c r="I25" s="250">
        <f t="shared" si="13"/>
        <v>6.2615680180890098E-3</v>
      </c>
      <c r="J25" s="380">
        <f t="shared" si="14"/>
        <v>7714.868937400186</v>
      </c>
      <c r="K25" s="380">
        <f t="shared" ref="K25:K31" si="22">+D25/B25*100</f>
        <v>819.61628642598134</v>
      </c>
      <c r="L25" s="380">
        <f t="shared" si="15"/>
        <v>427.90750654719795</v>
      </c>
      <c r="M25" s="380">
        <f t="shared" si="16"/>
        <v>391.70877987878333</v>
      </c>
      <c r="N25" s="382">
        <f t="shared" si="17"/>
        <v>1.9154052543726012</v>
      </c>
    </row>
    <row r="26" spans="1:14" x14ac:dyDescent="0.2">
      <c r="A26" s="222" t="s">
        <v>299</v>
      </c>
      <c r="B26" s="188">
        <f t="shared" si="18"/>
        <v>0</v>
      </c>
      <c r="C26" s="188">
        <f t="shared" si="11"/>
        <v>0</v>
      </c>
      <c r="D26" s="188">
        <f t="shared" si="18"/>
        <v>300</v>
      </c>
      <c r="E26" s="188">
        <v>0</v>
      </c>
      <c r="F26" s="188">
        <f t="shared" si="4"/>
        <v>300</v>
      </c>
      <c r="G26" s="250">
        <f t="shared" si="12"/>
        <v>1.4637887142778159E-4</v>
      </c>
      <c r="H26" s="188">
        <f t="shared" ref="H26" si="23">+H72</f>
        <v>66.126000000000005</v>
      </c>
      <c r="I26" s="250">
        <f t="shared" si="13"/>
        <v>4.9129257856383649E-5</v>
      </c>
      <c r="J26" s="380">
        <f t="shared" si="14"/>
        <v>233.874</v>
      </c>
      <c r="K26" s="380">
        <v>0</v>
      </c>
      <c r="L26" s="380">
        <v>0</v>
      </c>
      <c r="M26" s="380">
        <v>0</v>
      </c>
      <c r="N26" s="382">
        <f t="shared" si="17"/>
        <v>4.536793394428817</v>
      </c>
    </row>
    <row r="27" spans="1:14" x14ac:dyDescent="0.2">
      <c r="A27" s="120" t="s">
        <v>280</v>
      </c>
      <c r="B27" s="188">
        <f t="shared" si="18"/>
        <v>0</v>
      </c>
      <c r="C27" s="188">
        <f t="shared" si="11"/>
        <v>0</v>
      </c>
      <c r="D27" s="188">
        <f t="shared" si="18"/>
        <v>0</v>
      </c>
      <c r="E27" s="188"/>
      <c r="F27" s="188">
        <f t="shared" si="4"/>
        <v>0</v>
      </c>
      <c r="G27" s="188">
        <f t="shared" si="12"/>
        <v>0</v>
      </c>
      <c r="H27" s="188">
        <f t="shared" ref="H27" si="24">+H73</f>
        <v>1863.749</v>
      </c>
      <c r="I27" s="188">
        <f t="shared" si="13"/>
        <v>1.3846989867915367E-3</v>
      </c>
      <c r="J27" s="380">
        <f t="shared" si="14"/>
        <v>-1863.749</v>
      </c>
      <c r="K27" s="380">
        <v>0</v>
      </c>
      <c r="L27" s="380">
        <v>0</v>
      </c>
      <c r="M27" s="380">
        <v>0</v>
      </c>
      <c r="N27" s="380">
        <f t="shared" si="17"/>
        <v>0</v>
      </c>
    </row>
    <row r="28" spans="1:14" x14ac:dyDescent="0.2">
      <c r="A28" s="120" t="s">
        <v>267</v>
      </c>
      <c r="B28" s="188">
        <f t="shared" si="18"/>
        <v>0</v>
      </c>
      <c r="C28" s="188">
        <f t="shared" si="11"/>
        <v>0</v>
      </c>
      <c r="D28" s="188">
        <f t="shared" si="18"/>
        <v>0</v>
      </c>
      <c r="E28" s="188">
        <v>0</v>
      </c>
      <c r="F28" s="188">
        <f t="shared" si="4"/>
        <v>0</v>
      </c>
      <c r="G28" s="188">
        <f t="shared" si="12"/>
        <v>0</v>
      </c>
      <c r="H28" s="188">
        <f t="shared" ref="H28" si="25">+H74</f>
        <v>0</v>
      </c>
      <c r="I28" s="188">
        <f t="shared" si="13"/>
        <v>0</v>
      </c>
      <c r="J28" s="380">
        <f t="shared" si="14"/>
        <v>0</v>
      </c>
      <c r="K28" s="380">
        <v>0</v>
      </c>
      <c r="L28" s="380">
        <v>0</v>
      </c>
      <c r="M28" s="380">
        <v>0</v>
      </c>
      <c r="N28" s="380">
        <v>0</v>
      </c>
    </row>
    <row r="29" spans="1:14" x14ac:dyDescent="0.2">
      <c r="A29" s="222" t="s">
        <v>297</v>
      </c>
      <c r="B29" s="188">
        <f t="shared" si="18"/>
        <v>0</v>
      </c>
      <c r="C29" s="188">
        <f t="shared" si="11"/>
        <v>0</v>
      </c>
      <c r="D29" s="188">
        <f t="shared" si="18"/>
        <v>0</v>
      </c>
      <c r="E29" s="188">
        <v>0</v>
      </c>
      <c r="F29" s="188">
        <f t="shared" si="4"/>
        <v>0</v>
      </c>
      <c r="G29" s="188">
        <f t="shared" si="12"/>
        <v>0</v>
      </c>
      <c r="H29" s="188">
        <f t="shared" ref="H29" si="26">+H75</f>
        <v>5059.1040000000003</v>
      </c>
      <c r="I29" s="188">
        <f t="shared" si="13"/>
        <v>3.7587337044167487E-3</v>
      </c>
      <c r="J29" s="380">
        <f t="shared" si="14"/>
        <v>-5059.1040000000003</v>
      </c>
      <c r="K29" s="380">
        <v>0</v>
      </c>
      <c r="L29" s="380">
        <v>0</v>
      </c>
      <c r="M29" s="380">
        <v>0</v>
      </c>
      <c r="N29" s="380">
        <f t="shared" si="17"/>
        <v>0</v>
      </c>
    </row>
    <row r="30" spans="1:14" ht="15.75" x14ac:dyDescent="0.25">
      <c r="A30" s="119" t="s">
        <v>302</v>
      </c>
      <c r="B30" s="188">
        <f>SUM(B22:B29)</f>
        <v>104476.478</v>
      </c>
      <c r="C30" s="250">
        <f t="shared" si="11"/>
        <v>3.5556892481093616E-2</v>
      </c>
      <c r="D30" s="188">
        <f>SUM(D22:D29)</f>
        <v>623500.67900000012</v>
      </c>
      <c r="E30" s="188">
        <v>0</v>
      </c>
      <c r="F30" s="188">
        <f t="shared" si="4"/>
        <v>623500.67900000012</v>
      </c>
      <c r="G30" s="250">
        <f t="shared" si="12"/>
        <v>0.30422441908825182</v>
      </c>
      <c r="H30" s="188">
        <f>SUM(H22:H29)</f>
        <v>435373.565563071</v>
      </c>
      <c r="I30" s="250">
        <f t="shared" si="13"/>
        <v>0.32346702002844968</v>
      </c>
      <c r="J30" s="380">
        <f t="shared" si="14"/>
        <v>188127.11343692912</v>
      </c>
      <c r="K30" s="380">
        <f t="shared" si="22"/>
        <v>596.7856984995226</v>
      </c>
      <c r="L30" s="380">
        <f t="shared" si="15"/>
        <v>416.71922129981357</v>
      </c>
      <c r="M30" s="380">
        <f t="shared" si="16"/>
        <v>180.06647719970911</v>
      </c>
      <c r="N30" s="382">
        <f t="shared" si="17"/>
        <v>1.4321050433864153</v>
      </c>
    </row>
    <row r="31" spans="1:14" ht="15.75" x14ac:dyDescent="0.25">
      <c r="A31" s="119" t="s">
        <v>223</v>
      </c>
      <c r="B31" s="188">
        <f>+B30+B20</f>
        <v>2915097.483</v>
      </c>
      <c r="C31" s="250">
        <f t="shared" si="11"/>
        <v>0.99210664217583622</v>
      </c>
      <c r="D31" s="188">
        <f>+D30+D20</f>
        <v>2013909.0580000002</v>
      </c>
      <c r="E31" s="188">
        <v>0</v>
      </c>
      <c r="F31" s="188">
        <f t="shared" si="4"/>
        <v>2013909.0580000002</v>
      </c>
      <c r="G31" s="250">
        <f t="shared" si="12"/>
        <v>0.98264578356075594</v>
      </c>
      <c r="H31" s="188">
        <f>+H30+H20</f>
        <v>1327585.1088257516</v>
      </c>
      <c r="I31" s="250">
        <f t="shared" si="13"/>
        <v>0.98634835220330108</v>
      </c>
      <c r="J31" s="380">
        <f t="shared" si="14"/>
        <v>686323.94917424861</v>
      </c>
      <c r="K31" s="380">
        <f t="shared" si="22"/>
        <v>69.085478950344935</v>
      </c>
      <c r="L31" s="380">
        <f t="shared" si="15"/>
        <v>45.541705434135274</v>
      </c>
      <c r="M31" s="380">
        <f t="shared" si="16"/>
        <v>23.543773516209669</v>
      </c>
      <c r="N31" s="382">
        <f t="shared" si="17"/>
        <v>1.5169717139877397</v>
      </c>
    </row>
    <row r="32" spans="1:14" ht="15.75" x14ac:dyDescent="0.25">
      <c r="A32" s="73" t="s">
        <v>224</v>
      </c>
      <c r="B32" s="188"/>
      <c r="C32" s="188"/>
      <c r="D32" s="188"/>
      <c r="E32" s="188"/>
      <c r="F32" s="188"/>
      <c r="G32" s="188"/>
      <c r="H32" s="188"/>
      <c r="I32" s="188"/>
      <c r="J32" s="380"/>
      <c r="K32" s="380"/>
      <c r="L32" s="380"/>
      <c r="M32" s="380"/>
      <c r="N32" s="380"/>
    </row>
    <row r="33" spans="1:14" ht="15.75" x14ac:dyDescent="0.25">
      <c r="A33" s="28" t="s">
        <v>45</v>
      </c>
      <c r="B33" s="188"/>
      <c r="C33" s="188"/>
      <c r="D33" s="188"/>
      <c r="E33" s="188"/>
      <c r="F33" s="188"/>
      <c r="G33" s="188"/>
      <c r="H33" s="188"/>
      <c r="I33" s="188"/>
      <c r="J33" s="380"/>
      <c r="K33" s="380"/>
      <c r="L33" s="380"/>
      <c r="M33" s="380"/>
      <c r="N33" s="380"/>
    </row>
    <row r="34" spans="1:14" x14ac:dyDescent="0.2">
      <c r="A34" s="38" t="s">
        <v>307</v>
      </c>
      <c r="B34" s="188">
        <f>+B82</f>
        <v>22708.819</v>
      </c>
      <c r="C34" s="250">
        <f>+B34/$B$40</f>
        <v>7.7285820790744478E-3</v>
      </c>
      <c r="D34" s="188">
        <f>+D82</f>
        <v>35538.588000000003</v>
      </c>
      <c r="E34" s="188">
        <v>0</v>
      </c>
      <c r="F34" s="188">
        <f t="shared" si="4"/>
        <v>35538.588000000003</v>
      </c>
      <c r="G34" s="250">
        <f t="shared" si="12"/>
        <v>1.734032801192301E-2</v>
      </c>
      <c r="H34" s="188">
        <f>+H82</f>
        <v>8529.4745063365426</v>
      </c>
      <c r="I34" s="250">
        <f t="shared" si="13"/>
        <v>6.3370951275029275E-3</v>
      </c>
      <c r="J34" s="380">
        <f t="shared" ref="J34:J38" si="27">+F34-H34</f>
        <v>27009.113493663463</v>
      </c>
      <c r="K34" s="380">
        <f t="shared" ref="K34:K38" si="28">+D34/B34*100</f>
        <v>156.49685701400855</v>
      </c>
      <c r="L34" s="380">
        <f t="shared" ref="L34:L38" si="29">+H34/B34*100</f>
        <v>37.560185346215242</v>
      </c>
      <c r="M34" s="380">
        <f t="shared" ref="M34:M38" si="30">+J34/B34*100</f>
        <v>118.93667166779332</v>
      </c>
      <c r="N34" s="382">
        <f t="shared" ref="N34:N38" si="31">+F34/H34</f>
        <v>4.1665624269816863</v>
      </c>
    </row>
    <row r="35" spans="1:14" x14ac:dyDescent="0.2">
      <c r="A35" s="38" t="s">
        <v>225</v>
      </c>
      <c r="B35" s="188">
        <f>+B83</f>
        <v>2.4969999999999999</v>
      </c>
      <c r="C35" s="250">
        <f>+B35/$B$40</f>
        <v>8.4981387413625058E-7</v>
      </c>
      <c r="D35" s="188">
        <f>+D83</f>
        <v>13.733000000000001</v>
      </c>
      <c r="E35" s="188">
        <v>0</v>
      </c>
      <c r="F35" s="188">
        <f t="shared" si="4"/>
        <v>13.733000000000001</v>
      </c>
      <c r="G35" s="250">
        <f t="shared" si="12"/>
        <v>6.7007368043924161E-6</v>
      </c>
      <c r="H35" s="188">
        <f>+H83</f>
        <v>9845.0929427260926</v>
      </c>
      <c r="I35" s="250">
        <f t="shared" si="13"/>
        <v>7.3145526691959749E-3</v>
      </c>
      <c r="J35" s="380">
        <f t="shared" si="27"/>
        <v>-9831.3599427260924</v>
      </c>
      <c r="K35" s="380">
        <f t="shared" si="28"/>
        <v>549.97997597116546</v>
      </c>
      <c r="L35" s="380">
        <f t="shared" si="29"/>
        <v>394276.84992895846</v>
      </c>
      <c r="M35" s="380">
        <f t="shared" si="30"/>
        <v>-393726.8699529873</v>
      </c>
      <c r="N35" s="380">
        <v>0</v>
      </c>
    </row>
    <row r="36" spans="1:14" ht="15.75" x14ac:dyDescent="0.25">
      <c r="A36" s="119" t="s">
        <v>53</v>
      </c>
      <c r="B36" s="188">
        <f>+B34+B35</f>
        <v>22711.315999999999</v>
      </c>
      <c r="C36" s="250">
        <f>+B36/$B$40</f>
        <v>7.7294318929485841E-3</v>
      </c>
      <c r="D36" s="188">
        <f>+D34+D35</f>
        <v>35552.321000000004</v>
      </c>
      <c r="E36" s="188">
        <v>0</v>
      </c>
      <c r="F36" s="188">
        <f t="shared" si="4"/>
        <v>35552.321000000004</v>
      </c>
      <c r="G36" s="250">
        <f t="shared" si="12"/>
        <v>1.73470287487274E-2</v>
      </c>
      <c r="H36" s="188">
        <f>+H34+H35</f>
        <v>18374.567449062633</v>
      </c>
      <c r="I36" s="250">
        <f t="shared" si="13"/>
        <v>1.3651647796698901E-2</v>
      </c>
      <c r="J36" s="380">
        <f t="shared" si="27"/>
        <v>17177.75355093737</v>
      </c>
      <c r="K36" s="380">
        <f t="shared" si="28"/>
        <v>156.54011859110238</v>
      </c>
      <c r="L36" s="380">
        <f t="shared" si="29"/>
        <v>80.904899782393215</v>
      </c>
      <c r="M36" s="380">
        <f t="shared" si="30"/>
        <v>75.635218808709155</v>
      </c>
      <c r="N36" s="382">
        <f t="shared" si="31"/>
        <v>1.9348657375776039</v>
      </c>
    </row>
    <row r="37" spans="1:14" ht="15.75" x14ac:dyDescent="0.25">
      <c r="A37" s="119" t="s">
        <v>318</v>
      </c>
      <c r="B37" s="188">
        <f>+B85</f>
        <v>481.66199999999998</v>
      </c>
      <c r="C37" s="250">
        <f>+B37/$B$40</f>
        <v>1.6392593121514407E-4</v>
      </c>
      <c r="D37" s="188">
        <f>+D85</f>
        <v>14.731</v>
      </c>
      <c r="E37" s="188">
        <v>0</v>
      </c>
      <c r="F37" s="188">
        <f t="shared" si="4"/>
        <v>14.731</v>
      </c>
      <c r="G37" s="250">
        <f t="shared" si="12"/>
        <v>7.1876905166755026E-6</v>
      </c>
      <c r="H37" s="188">
        <f>+H85</f>
        <v>0</v>
      </c>
      <c r="I37" s="250">
        <f t="shared" si="13"/>
        <v>0</v>
      </c>
      <c r="J37" s="380">
        <f t="shared" si="27"/>
        <v>14.731</v>
      </c>
      <c r="K37" s="380">
        <f t="shared" si="28"/>
        <v>3.0583687316001678</v>
      </c>
      <c r="L37" s="380">
        <f t="shared" si="29"/>
        <v>0</v>
      </c>
      <c r="M37" s="380">
        <f t="shared" si="30"/>
        <v>3.0583687316001678</v>
      </c>
      <c r="N37" s="380">
        <v>0</v>
      </c>
    </row>
    <row r="38" spans="1:14" ht="15.75" x14ac:dyDescent="0.25">
      <c r="A38" s="119" t="s">
        <v>226</v>
      </c>
      <c r="B38" s="188">
        <f>+B86</f>
        <v>23192.977999999999</v>
      </c>
      <c r="C38" s="250">
        <f>+B38/$B$40</f>
        <v>7.8933578241637287E-3</v>
      </c>
      <c r="D38" s="188">
        <f>+D86</f>
        <v>35567.052000000003</v>
      </c>
      <c r="E38" s="188">
        <v>0</v>
      </c>
      <c r="F38" s="188">
        <f t="shared" si="4"/>
        <v>35567.052000000003</v>
      </c>
      <c r="G38" s="250">
        <f t="shared" si="12"/>
        <v>1.7354216439244077E-2</v>
      </c>
      <c r="H38" s="188">
        <f>+H86</f>
        <v>18374.567449062633</v>
      </c>
      <c r="I38" s="250">
        <f t="shared" si="13"/>
        <v>1.3651647796698901E-2</v>
      </c>
      <c r="J38" s="380">
        <f t="shared" si="27"/>
        <v>17192.48455093737</v>
      </c>
      <c r="K38" s="380">
        <f t="shared" si="28"/>
        <v>153.35267424476498</v>
      </c>
      <c r="L38" s="380">
        <f t="shared" si="29"/>
        <v>79.224700894652827</v>
      </c>
      <c r="M38" s="380">
        <f t="shared" si="30"/>
        <v>74.127973350112129</v>
      </c>
      <c r="N38" s="382">
        <f t="shared" si="31"/>
        <v>1.9356674435247418</v>
      </c>
    </row>
    <row r="39" spans="1:14" ht="15.75" thickBot="1" x14ac:dyDescent="0.25">
      <c r="A39" s="401"/>
      <c r="B39" s="383"/>
      <c r="C39" s="402"/>
      <c r="D39" s="383"/>
      <c r="E39" s="383"/>
      <c r="F39" s="383"/>
      <c r="G39" s="383"/>
      <c r="H39" s="383"/>
      <c r="I39" s="383"/>
      <c r="J39" s="384"/>
      <c r="K39" s="384"/>
      <c r="L39" s="384"/>
      <c r="M39" s="384"/>
      <c r="N39" s="384"/>
    </row>
    <row r="40" spans="1:14" ht="16.5" thickTop="1" x14ac:dyDescent="0.25">
      <c r="A40" s="119" t="s">
        <v>58</v>
      </c>
      <c r="B40" s="188">
        <f>+B38+B31</f>
        <v>2938290.4610000001</v>
      </c>
      <c r="C40" s="250">
        <f>+B40/$B$40</f>
        <v>1</v>
      </c>
      <c r="D40" s="188">
        <f>+D38+D31</f>
        <v>2049476.11</v>
      </c>
      <c r="E40" s="188">
        <v>0</v>
      </c>
      <c r="F40" s="188">
        <f t="shared" si="4"/>
        <v>2049476.11</v>
      </c>
      <c r="G40" s="250">
        <f t="shared" si="12"/>
        <v>1</v>
      </c>
      <c r="H40" s="188">
        <f>+H38+H31</f>
        <v>1345959.6762748142</v>
      </c>
      <c r="I40" s="250">
        <f t="shared" si="13"/>
        <v>1</v>
      </c>
      <c r="J40" s="380">
        <f>+F40-H40</f>
        <v>703516.43372518593</v>
      </c>
      <c r="K40" s="380">
        <f t="shared" ref="K40" si="32">+D40/B40*100</f>
        <v>69.750630075642476</v>
      </c>
      <c r="L40" s="380">
        <f>+H40/B40*100</f>
        <v>45.807577369894823</v>
      </c>
      <c r="M40" s="380">
        <f>+J40/B40*100</f>
        <v>23.943052705747661</v>
      </c>
      <c r="N40" s="382">
        <f>+F40/H40</f>
        <v>1.5226876006213605</v>
      </c>
    </row>
    <row r="41" spans="1:14" x14ac:dyDescent="0.2">
      <c r="A41" s="260" t="s">
        <v>393</v>
      </c>
      <c r="B41" s="381">
        <f>+'[3]PRC RPW'!$G$130-B40</f>
        <v>0</v>
      </c>
      <c r="C41" s="396"/>
      <c r="D41" s="396"/>
      <c r="E41" s="396"/>
      <c r="F41" s="381">
        <f>+'[3]PRC RPW'!$B$130-F40</f>
        <v>0</v>
      </c>
      <c r="G41" s="397"/>
      <c r="H41" s="381">
        <f>+[4]CS21!$K$62+'[1]ACR2013 Intl SpecServ Products'!$O$34-H40</f>
        <v>0</v>
      </c>
      <c r="I41" s="397"/>
      <c r="J41" s="398"/>
      <c r="K41" s="131"/>
      <c r="L41" s="398"/>
      <c r="M41" s="398"/>
      <c r="N41" s="398"/>
    </row>
    <row r="42" spans="1:14" ht="15.75" x14ac:dyDescent="0.25">
      <c r="A42" s="393"/>
      <c r="B42" s="381"/>
      <c r="C42" s="381"/>
      <c r="D42" s="381"/>
      <c r="E42" s="381"/>
      <c r="F42" s="381"/>
      <c r="G42" s="381"/>
      <c r="H42" s="381"/>
      <c r="I42" s="221"/>
      <c r="J42" s="138"/>
      <c r="K42" s="75"/>
      <c r="L42" s="138"/>
      <c r="M42" s="138"/>
      <c r="N42" s="138"/>
    </row>
    <row r="43" spans="1:14" ht="15.75" x14ac:dyDescent="0.25">
      <c r="A43" s="395"/>
      <c r="B43" s="394"/>
      <c r="C43" s="394"/>
      <c r="D43" s="394"/>
      <c r="E43" s="394"/>
      <c r="F43" s="394"/>
      <c r="G43" s="221"/>
      <c r="H43" s="221"/>
      <c r="I43" s="221"/>
      <c r="J43" s="138"/>
      <c r="K43" s="75"/>
      <c r="L43" s="138"/>
      <c r="M43" s="138"/>
      <c r="N43" s="138"/>
    </row>
    <row r="44" spans="1:14" ht="15.75" x14ac:dyDescent="0.25">
      <c r="A44" s="119"/>
      <c r="B44" s="221"/>
      <c r="C44" s="221"/>
      <c r="D44" s="221"/>
      <c r="E44" s="221"/>
      <c r="F44" s="221"/>
      <c r="G44" s="221"/>
      <c r="H44" s="221"/>
      <c r="I44" s="221"/>
      <c r="J44" s="138"/>
      <c r="K44" s="75"/>
      <c r="L44" s="138"/>
      <c r="M44" s="138"/>
      <c r="N44" s="138"/>
    </row>
    <row r="45" spans="1:14" ht="15.75" x14ac:dyDescent="0.25">
      <c r="A45" s="119"/>
      <c r="B45" s="221"/>
      <c r="C45" s="221"/>
      <c r="D45" s="221"/>
      <c r="E45" s="221"/>
      <c r="F45" s="221"/>
      <c r="G45" s="221"/>
      <c r="H45" s="221"/>
      <c r="I45" s="221"/>
      <c r="J45" s="138"/>
      <c r="K45" s="75"/>
      <c r="L45" s="138"/>
      <c r="M45" s="138"/>
      <c r="N45" s="138"/>
    </row>
    <row r="46" spans="1:14" ht="15.75" x14ac:dyDescent="0.25">
      <c r="A46" s="119"/>
      <c r="B46" s="221"/>
      <c r="C46" s="221"/>
      <c r="D46" s="221"/>
      <c r="E46" s="221"/>
      <c r="F46" s="221"/>
      <c r="G46" s="221"/>
      <c r="H46" s="221"/>
      <c r="I46" s="221"/>
      <c r="J46" s="138"/>
      <c r="K46" s="75"/>
      <c r="L46" s="138"/>
      <c r="M46" s="138"/>
      <c r="N46" s="138"/>
    </row>
    <row r="47" spans="1:14" ht="15.75" x14ac:dyDescent="0.25">
      <c r="A47" s="60" t="s">
        <v>336</v>
      </c>
      <c r="B47" s="221"/>
      <c r="C47" s="221"/>
      <c r="D47" s="221"/>
      <c r="E47" s="221"/>
      <c r="F47" s="221"/>
      <c r="G47" s="221"/>
      <c r="H47" s="221"/>
      <c r="I47" s="221"/>
      <c r="J47" s="138"/>
      <c r="K47" s="75"/>
      <c r="L47" s="138"/>
      <c r="M47" s="138"/>
      <c r="N47" s="138"/>
    </row>
    <row r="48" spans="1:14" ht="15.75" x14ac:dyDescent="0.25">
      <c r="A48" s="73" t="s">
        <v>212</v>
      </c>
      <c r="B48" s="81"/>
      <c r="C48" s="81"/>
      <c r="D48" s="81"/>
      <c r="E48" s="81"/>
      <c r="F48" s="81"/>
      <c r="G48" s="81"/>
      <c r="H48" s="81"/>
      <c r="I48" s="81"/>
    </row>
    <row r="49" spans="1:14" ht="15.75" x14ac:dyDescent="0.25">
      <c r="A49" s="28" t="s">
        <v>45</v>
      </c>
      <c r="B49" s="81"/>
      <c r="C49" s="81"/>
      <c r="D49" s="81"/>
      <c r="E49" s="81"/>
      <c r="F49" s="81"/>
      <c r="G49" s="81"/>
      <c r="H49" s="81"/>
      <c r="I49" s="81"/>
    </row>
    <row r="50" spans="1:14" x14ac:dyDescent="0.2">
      <c r="A50" s="41" t="s">
        <v>46</v>
      </c>
      <c r="B50" s="248">
        <f>+'[3]PRC RPW'!$G100</f>
        <v>233944.69399999999</v>
      </c>
      <c r="C50" s="89">
        <f t="shared" ref="C50:C56" si="33">B50/B$88</f>
        <v>7.8691422652067508E-2</v>
      </c>
      <c r="D50" s="81">
        <f>+'[3]PRC RPW'!$B100</f>
        <v>714989.48899999994</v>
      </c>
      <c r="E50" s="81"/>
      <c r="F50" s="81">
        <f t="shared" ref="F50:F56" si="34">D50+E50</f>
        <v>714989.48899999994</v>
      </c>
      <c r="G50" s="89">
        <f t="shared" ref="G50:G56" si="35">F50/F$88</f>
        <v>0.34886451494182086</v>
      </c>
      <c r="H50" s="81">
        <f>+[4]CS21!$I$47</f>
        <v>535194.07839535491</v>
      </c>
      <c r="I50" s="89">
        <f t="shared" ref="I50:I56" si="36">H50/H$88</f>
        <v>0.39763009830770035</v>
      </c>
      <c r="J50" s="81">
        <f t="shared" ref="J50:J55" si="37">D50-H50</f>
        <v>179795.41060464503</v>
      </c>
      <c r="K50" s="90">
        <f>D50/B50*100</f>
        <v>305.62329787227401</v>
      </c>
      <c r="L50" s="90">
        <f>H50/B50*100</f>
        <v>228.76948788389916</v>
      </c>
      <c r="M50" s="90">
        <f>J50/B50*100</f>
        <v>76.853809988374877</v>
      </c>
      <c r="N50" s="82">
        <f t="shared" ref="N50:N56" si="38">D50/H50</f>
        <v>1.3359443197572671</v>
      </c>
    </row>
    <row r="51" spans="1:14" x14ac:dyDescent="0.2">
      <c r="A51" s="41" t="s">
        <v>47</v>
      </c>
      <c r="B51" s="248">
        <f>+'[3]PRC RPW'!$G101</f>
        <v>486.41199999999998</v>
      </c>
      <c r="C51" s="89">
        <f t="shared" si="33"/>
        <v>1.6361325243408796E-4</v>
      </c>
      <c r="D51" s="81">
        <f>+'[3]PRC RPW'!$B101</f>
        <v>4431.6480000000001</v>
      </c>
      <c r="E51" s="81"/>
      <c r="F51" s="81">
        <f t="shared" si="34"/>
        <v>4431.6480000000001</v>
      </c>
      <c r="G51" s="89">
        <f t="shared" si="35"/>
        <v>2.1623321093506183E-3</v>
      </c>
      <c r="H51" s="81">
        <f>+[4]CS21!$K$48</f>
        <v>3700.9091975523306</v>
      </c>
      <c r="I51" s="89">
        <f t="shared" si="36"/>
        <v>2.7496434423617084E-3</v>
      </c>
      <c r="J51" s="81">
        <f t="shared" si="37"/>
        <v>730.73880244766951</v>
      </c>
      <c r="K51" s="90">
        <f>D51/B51*100</f>
        <v>911.0893645715978</v>
      </c>
      <c r="L51" s="90">
        <f>H51/B51*100</f>
        <v>760.85894212156177</v>
      </c>
      <c r="M51" s="90">
        <f>J51/B51*100</f>
        <v>150.23042245003609</v>
      </c>
      <c r="N51" s="82">
        <f t="shared" si="38"/>
        <v>1.1974484548096878</v>
      </c>
    </row>
    <row r="52" spans="1:14" x14ac:dyDescent="0.2">
      <c r="A52" s="41" t="s">
        <v>48</v>
      </c>
      <c r="B52" s="248">
        <f>+'[3]PRC RPW'!$G102</f>
        <v>28079.599999999999</v>
      </c>
      <c r="C52" s="89">
        <f t="shared" si="33"/>
        <v>9.4450685489836112E-3</v>
      </c>
      <c r="D52" s="81">
        <f>+'[3]PRC RPW'!$B102</f>
        <v>108436.587</v>
      </c>
      <c r="E52" s="81"/>
      <c r="F52" s="81">
        <f t="shared" si="34"/>
        <v>108436.587</v>
      </c>
      <c r="G52" s="89">
        <f t="shared" si="35"/>
        <v>5.2909417421801511E-2</v>
      </c>
      <c r="H52" s="81">
        <f>+[4]CS21!$K$49</f>
        <v>75780.379868900272</v>
      </c>
      <c r="I52" s="89">
        <f t="shared" si="36"/>
        <v>5.6302117518584306E-2</v>
      </c>
      <c r="J52" s="81">
        <f t="shared" si="37"/>
        <v>32656.207131099727</v>
      </c>
      <c r="K52" s="90">
        <f>D52/B52*100</f>
        <v>386.17568270203282</v>
      </c>
      <c r="L52" s="90">
        <f>H52/B52*100</f>
        <v>269.8769920828654</v>
      </c>
      <c r="M52" s="90">
        <f>J52/B52*100</f>
        <v>116.2986906191674</v>
      </c>
      <c r="N52" s="82">
        <f t="shared" si="38"/>
        <v>1.4309322173839036</v>
      </c>
    </row>
    <row r="53" spans="1:14" x14ac:dyDescent="0.2">
      <c r="A53" s="41" t="s">
        <v>49</v>
      </c>
      <c r="B53" s="248">
        <f>+'[3]PRC RPW'!$G103</f>
        <v>2238.4830000000002</v>
      </c>
      <c r="C53" s="89">
        <f t="shared" si="33"/>
        <v>7.5295322514332412E-4</v>
      </c>
      <c r="D53" s="81">
        <f>+'[3]PRC RPW'!$B103</f>
        <v>35464.857000000004</v>
      </c>
      <c r="E53" s="81"/>
      <c r="F53" s="81">
        <f t="shared" si="34"/>
        <v>35464.857000000004</v>
      </c>
      <c r="G53" s="89">
        <f t="shared" si="35"/>
        <v>1.7304352476692202E-2</v>
      </c>
      <c r="H53" s="81">
        <f>+[4]CS21!$K$50</f>
        <v>27982.15417171588</v>
      </c>
      <c r="I53" s="89">
        <f t="shared" si="36"/>
        <v>2.0789741821360896E-2</v>
      </c>
      <c r="J53" s="81">
        <f t="shared" si="37"/>
        <v>7482.7028282841238</v>
      </c>
      <c r="K53" s="90">
        <f>D53/B53*100</f>
        <v>1584.325500796745</v>
      </c>
      <c r="L53" s="90">
        <f>H53/B53*100</f>
        <v>1250.0498851997481</v>
      </c>
      <c r="M53" s="90">
        <f>J53/B53*100</f>
        <v>334.27561559699683</v>
      </c>
      <c r="N53" s="82">
        <f t="shared" si="38"/>
        <v>1.2674098206437436</v>
      </c>
    </row>
    <row r="54" spans="1:14" x14ac:dyDescent="0.2">
      <c r="A54" s="41" t="s">
        <v>50</v>
      </c>
      <c r="B54" s="248">
        <f>+'[3]PRC RPW'!$G104</f>
        <v>0</v>
      </c>
      <c r="C54" s="89">
        <f t="shared" si="33"/>
        <v>0</v>
      </c>
      <c r="D54" s="81">
        <f>+'[3]PRC RPW'!$B104</f>
        <v>10909.6</v>
      </c>
      <c r="E54" s="81"/>
      <c r="F54" s="81">
        <f t="shared" si="34"/>
        <v>10909.6</v>
      </c>
      <c r="G54" s="89">
        <f t="shared" si="35"/>
        <v>5.3231164524284204E-3</v>
      </c>
      <c r="H54" s="81">
        <f>+[4]CS21!$K$51</f>
        <v>6476.2298819551252</v>
      </c>
      <c r="I54" s="89">
        <f t="shared" si="36"/>
        <v>4.8116076552005317E-3</v>
      </c>
      <c r="J54" s="81">
        <f t="shared" si="37"/>
        <v>4433.3701180448752</v>
      </c>
      <c r="K54" s="90"/>
      <c r="L54" s="90"/>
      <c r="M54" s="90"/>
      <c r="N54" s="82">
        <f t="shared" si="38"/>
        <v>1.684560338167995</v>
      </c>
    </row>
    <row r="55" spans="1:14" x14ac:dyDescent="0.2">
      <c r="A55" s="41" t="s">
        <v>51</v>
      </c>
      <c r="B55" s="248">
        <f>+'[3]Summary Category RPW Data'!$E$191/1000</f>
        <v>34647.199999999997</v>
      </c>
      <c r="C55" s="89">
        <f t="shared" si="33"/>
        <v>1.1654196606445425E-2</v>
      </c>
      <c r="D55" s="81">
        <f>+'[3]PRC RPW'!$B105</f>
        <v>1385.8879999999999</v>
      </c>
      <c r="E55" s="81"/>
      <c r="F55" s="81">
        <f t="shared" si="34"/>
        <v>1385.8879999999999</v>
      </c>
      <c r="G55" s="89">
        <f t="shared" si="35"/>
        <v>6.7621573788435125E-4</v>
      </c>
      <c r="H55" s="81">
        <f>+[4]CS21!$K$52</f>
        <v>451.44672839692521</v>
      </c>
      <c r="I55" s="89">
        <f t="shared" si="36"/>
        <v>3.3540880633689215E-4</v>
      </c>
      <c r="J55" s="81">
        <f t="shared" si="37"/>
        <v>934.44127160307471</v>
      </c>
      <c r="K55" s="90"/>
      <c r="L55" s="90"/>
      <c r="M55" s="90"/>
      <c r="N55" s="82">
        <f t="shared" si="38"/>
        <v>3.0698815891771987</v>
      </c>
    </row>
    <row r="56" spans="1:14" ht="15.75" x14ac:dyDescent="0.25">
      <c r="A56" s="27" t="s">
        <v>213</v>
      </c>
      <c r="B56" s="247">
        <f>+B54+B55</f>
        <v>34647.199999999997</v>
      </c>
      <c r="C56" s="92">
        <f t="shared" si="33"/>
        <v>1.1654196606445425E-2</v>
      </c>
      <c r="D56" s="59">
        <f>SUM(D54:D55)</f>
        <v>12295.488000000001</v>
      </c>
      <c r="E56" s="59"/>
      <c r="F56" s="59">
        <f t="shared" si="34"/>
        <v>12295.488000000001</v>
      </c>
      <c r="G56" s="92">
        <f t="shared" si="35"/>
        <v>5.9993321903127721E-3</v>
      </c>
      <c r="H56" s="59">
        <f>SUM(H54:H55)</f>
        <v>6927.6766103520504</v>
      </c>
      <c r="I56" s="92">
        <f t="shared" si="36"/>
        <v>5.1470164615374236E-3</v>
      </c>
      <c r="J56" s="59">
        <f>J54+J55</f>
        <v>5367.8113896479499</v>
      </c>
      <c r="K56" s="93"/>
      <c r="L56" s="93"/>
      <c r="M56" s="93"/>
      <c r="N56" s="96">
        <f t="shared" si="38"/>
        <v>1.7748357337619964</v>
      </c>
    </row>
    <row r="57" spans="1:14" ht="15.75" x14ac:dyDescent="0.25">
      <c r="A57" s="27" t="s">
        <v>214</v>
      </c>
      <c r="B57" s="248"/>
      <c r="C57" s="81"/>
      <c r="D57" s="81"/>
      <c r="E57" s="81"/>
      <c r="F57" s="81"/>
      <c r="G57" s="81"/>
      <c r="H57" s="81"/>
      <c r="I57" s="81"/>
    </row>
    <row r="58" spans="1:14" x14ac:dyDescent="0.2">
      <c r="A58" s="118" t="s">
        <v>215</v>
      </c>
      <c r="B58" s="248">
        <f>+'[3]PRC RPW'!$G$106</f>
        <v>2355710.8739999998</v>
      </c>
      <c r="C58" s="89">
        <f t="shared" ref="C58:C66" si="39">B58/B$88</f>
        <v>0.79238488748116398</v>
      </c>
      <c r="D58" s="153">
        <f>+'[3]PRC RPW'!$B$106</f>
        <v>71460.934999999998</v>
      </c>
      <c r="E58" s="81"/>
      <c r="F58" s="81">
        <f>D58+E58</f>
        <v>71460.934999999998</v>
      </c>
      <c r="G58" s="89">
        <f t="shared" ref="G58:G64" si="40">F58/F$88</f>
        <v>3.4867903388246857E-2</v>
      </c>
      <c r="H58" s="81"/>
      <c r="I58" s="89">
        <f t="shared" ref="I58:I63" si="41">H58/H$88</f>
        <v>0</v>
      </c>
    </row>
    <row r="59" spans="1:14" x14ac:dyDescent="0.2">
      <c r="A59" s="118" t="s">
        <v>216</v>
      </c>
      <c r="B59" s="248">
        <f>+'[3]Summary Category RPW Data'!$E$188/1000+'[3]Summary Category RPW Data'!$E$189/1000</f>
        <v>156893.552</v>
      </c>
      <c r="C59" s="89">
        <f t="shared" si="39"/>
        <v>5.2773912503508769E-2</v>
      </c>
      <c r="D59" s="153">
        <f>+'[3]Summary Category RPW Data'!$C$188/1000+'[3]Summary Category RPW Data'!$C$189/1000</f>
        <v>354824.75900000002</v>
      </c>
      <c r="E59" s="81"/>
      <c r="F59" s="81">
        <f>D59+E59</f>
        <v>354824.75900000002</v>
      </c>
      <c r="G59" s="89">
        <f t="shared" si="40"/>
        <v>0.17312949259018198</v>
      </c>
      <c r="H59" s="81"/>
      <c r="I59" s="89">
        <f t="shared" si="41"/>
        <v>0</v>
      </c>
    </row>
    <row r="60" spans="1:14" x14ac:dyDescent="0.2">
      <c r="A60" s="118" t="s">
        <v>217</v>
      </c>
      <c r="B60" s="248">
        <f>+'[3]Summary Category RPW Data'!$E$190/1000</f>
        <v>317.93</v>
      </c>
      <c r="C60" s="89">
        <f t="shared" si="39"/>
        <v>1.0694136112260715E-4</v>
      </c>
      <c r="D60" s="153">
        <f>+'[3]Summary Category RPW Data'!$C$190/1000</f>
        <v>1281.9059999999999</v>
      </c>
      <c r="E60" s="81"/>
      <c r="F60" s="81">
        <f>D60+E60</f>
        <v>1281.9059999999999</v>
      </c>
      <c r="G60" s="89">
        <f t="shared" si="40"/>
        <v>6.2547984518833931E-4</v>
      </c>
      <c r="H60" s="81"/>
      <c r="I60" s="89">
        <f t="shared" si="41"/>
        <v>0</v>
      </c>
    </row>
    <row r="61" spans="1:14" ht="15.75" x14ac:dyDescent="0.25">
      <c r="A61" s="119" t="s">
        <v>218</v>
      </c>
      <c r="B61" s="247">
        <f>SUM(B59:B60)</f>
        <v>157211.48199999999</v>
      </c>
      <c r="C61" s="92">
        <f t="shared" si="39"/>
        <v>5.2880853864631372E-2</v>
      </c>
      <c r="D61" s="59">
        <f>SUM(D59:D60)</f>
        <v>356106.66500000004</v>
      </c>
      <c r="E61" s="59"/>
      <c r="F61" s="59">
        <f>SUM(F59:F60)</f>
        <v>356106.66500000004</v>
      </c>
      <c r="G61" s="92">
        <f t="shared" si="40"/>
        <v>0.17375497243537033</v>
      </c>
      <c r="H61" s="81"/>
      <c r="I61" s="92">
        <f t="shared" si="41"/>
        <v>0</v>
      </c>
    </row>
    <row r="62" spans="1:14" x14ac:dyDescent="0.2">
      <c r="A62" s="118" t="s">
        <v>219</v>
      </c>
      <c r="B62" s="248">
        <f>+'[3]Summary Category RPW Data'!$E$193/1000</f>
        <v>2008.3050000000001</v>
      </c>
      <c r="C62" s="89">
        <f t="shared" si="39"/>
        <v>6.7552879643109349E-4</v>
      </c>
      <c r="D62" s="153">
        <f>+'[3]Summary Category RPW Data'!$C$193/1000</f>
        <v>9435.5360000000001</v>
      </c>
      <c r="E62" s="81"/>
      <c r="F62" s="81">
        <f>D62+E62</f>
        <v>9435.5360000000001</v>
      </c>
      <c r="G62" s="89">
        <f t="shared" si="40"/>
        <v>4.6038770366540159E-3</v>
      </c>
      <c r="H62" s="81"/>
      <c r="I62" s="89">
        <f t="shared" si="41"/>
        <v>0</v>
      </c>
    </row>
    <row r="63" spans="1:14" x14ac:dyDescent="0.2">
      <c r="A63" s="118" t="s">
        <v>220</v>
      </c>
      <c r="B63" s="248">
        <f>+'[3]Summary Category RPW Data'!$E$194/1000</f>
        <v>30941.154999999999</v>
      </c>
      <c r="C63" s="89">
        <f t="shared" si="39"/>
        <v>1.0407603027098925E-2</v>
      </c>
      <c r="D63" s="153">
        <f>+'[3]Summary Category RPW Data'!$C$194/1000</f>
        <v>77787.173999999999</v>
      </c>
      <c r="E63" s="81"/>
      <c r="F63" s="81">
        <f>D63+E63</f>
        <v>77787.173999999999</v>
      </c>
      <c r="G63" s="89">
        <f t="shared" si="40"/>
        <v>3.7954662472254923E-2</v>
      </c>
      <c r="H63" s="81"/>
      <c r="I63" s="89">
        <f t="shared" si="41"/>
        <v>0</v>
      </c>
    </row>
    <row r="64" spans="1:14" x14ac:dyDescent="0.2">
      <c r="A64" s="118" t="s">
        <v>386</v>
      </c>
      <c r="B64" s="248">
        <v>0</v>
      </c>
      <c r="C64" s="89">
        <f t="shared" si="39"/>
        <v>0</v>
      </c>
      <c r="D64" s="153">
        <v>0</v>
      </c>
      <c r="E64" s="81"/>
      <c r="F64" s="81">
        <f>D64+E64</f>
        <v>0</v>
      </c>
      <c r="G64" s="89">
        <f t="shared" si="40"/>
        <v>0</v>
      </c>
      <c r="H64" s="81"/>
      <c r="I64" s="89">
        <f>H64/H$88</f>
        <v>0</v>
      </c>
    </row>
    <row r="65" spans="1:14" ht="15.75" x14ac:dyDescent="0.25">
      <c r="A65" s="119" t="s">
        <v>221</v>
      </c>
      <c r="B65" s="247">
        <f>B58+B61+B62+B63+B64</f>
        <v>2545871.8159999996</v>
      </c>
      <c r="C65" s="92">
        <f t="shared" si="39"/>
        <v>0.8563488731693254</v>
      </c>
      <c r="D65" s="59">
        <f>D58+D61+D62+D63+D64</f>
        <v>514790.31000000006</v>
      </c>
      <c r="E65" s="59"/>
      <c r="F65" s="59">
        <f>F58+F61+F62+F63</f>
        <v>514790.31000000006</v>
      </c>
      <c r="G65" s="92">
        <f>F65/F$88</f>
        <v>0.25118141533252614</v>
      </c>
      <c r="H65" s="81">
        <f>+[4]CS21!$K$53</f>
        <v>242626.34501880506</v>
      </c>
      <c r="I65" s="92">
        <f>H65/H$88</f>
        <v>0.18026271462330667</v>
      </c>
      <c r="J65" s="81">
        <f>D65-H65</f>
        <v>272163.96498119499</v>
      </c>
      <c r="K65" s="90">
        <f>D65/B65*100</f>
        <v>20.220590320561531</v>
      </c>
      <c r="L65" s="90">
        <f>H65/B65*100</f>
        <v>9.5301870068231711</v>
      </c>
      <c r="M65" s="90">
        <f>J65/B65*100</f>
        <v>10.690403313738363</v>
      </c>
      <c r="N65" s="82">
        <f>D65/H65</f>
        <v>2.1217411899771252</v>
      </c>
    </row>
    <row r="66" spans="1:14" ht="15.75" x14ac:dyDescent="0.25">
      <c r="A66" s="193" t="s">
        <v>53</v>
      </c>
      <c r="B66" s="247">
        <f>B50+B51+B52+B53+B56+B65</f>
        <v>2845268.2049999996</v>
      </c>
      <c r="C66" s="92">
        <f t="shared" si="39"/>
        <v>0.95705612745439927</v>
      </c>
      <c r="D66" s="59">
        <f>D50+D51+D52+D53+D56+D65</f>
        <v>1390408.379</v>
      </c>
      <c r="E66" s="59"/>
      <c r="F66" s="59">
        <f>F50+F51+F52+F53+F56+F65</f>
        <v>1390408.379</v>
      </c>
      <c r="G66" s="92">
        <f>F66/F$88</f>
        <v>0.67842136447250412</v>
      </c>
      <c r="H66" s="59">
        <f>+H65+H56+H53+H52+H51+H50</f>
        <v>892211.54326268053</v>
      </c>
      <c r="I66" s="92">
        <f>H66/H$88</f>
        <v>0.66288133217485135</v>
      </c>
      <c r="J66" s="59">
        <f>J50+J51+J52+J53+J56+J65</f>
        <v>498196.83573731949</v>
      </c>
      <c r="K66" s="93">
        <f>D66/B66*100</f>
        <v>48.867392415120321</v>
      </c>
      <c r="L66" s="93">
        <f>H66/B66*100</f>
        <v>31.357730764881641</v>
      </c>
      <c r="M66" s="93">
        <f>J66/B66*100</f>
        <v>17.509661650238684</v>
      </c>
      <c r="N66" s="96">
        <f>D66/H66</f>
        <v>1.5583842077580505</v>
      </c>
    </row>
    <row r="67" spans="1:14" ht="15.75" x14ac:dyDescent="0.25">
      <c r="A67" s="28" t="s">
        <v>222</v>
      </c>
      <c r="B67" s="248"/>
      <c r="C67" s="81"/>
      <c r="D67" s="81"/>
      <c r="E67" s="81"/>
      <c r="F67" s="81"/>
      <c r="G67" s="81"/>
      <c r="H67" s="81"/>
      <c r="I67" s="81"/>
    </row>
    <row r="68" spans="1:14" x14ac:dyDescent="0.2">
      <c r="A68" s="41" t="s">
        <v>54</v>
      </c>
      <c r="B68" s="248">
        <f>+'[3]PRC RPW'!$G$120</f>
        <v>102506.936</v>
      </c>
      <c r="C68" s="89">
        <f>B68/B$88</f>
        <v>3.4480015287478308E-2</v>
      </c>
      <c r="D68" s="84">
        <f>+'[3]PRC RPW'!$B$120</f>
        <v>154964.98800000001</v>
      </c>
      <c r="E68" s="84"/>
      <c r="F68" s="84">
        <f t="shared" ref="F68:F75" si="42">D68+E68</f>
        <v>154964.98800000001</v>
      </c>
      <c r="G68" s="89">
        <f t="shared" ref="G68:G77" si="43">F68/F$88</f>
        <v>7.5612000180865738E-2</v>
      </c>
      <c r="H68" s="81">
        <f>+[4]CS21!$K$58</f>
        <v>103265.92705096357</v>
      </c>
      <c r="I68" s="89">
        <f t="shared" ref="I68:I77" si="44">H68/H$88</f>
        <v>7.6722898071337933E-2</v>
      </c>
      <c r="J68" s="81">
        <f t="shared" ref="J68:J75" si="45">D68-H68</f>
        <v>51699.060949036444</v>
      </c>
      <c r="K68" s="90">
        <f>D68/B68*100</f>
        <v>151.1751243837783</v>
      </c>
      <c r="L68" s="90">
        <f>H68/B68*100</f>
        <v>100.74042897054652</v>
      </c>
      <c r="M68" s="90">
        <f>J68/B68*100</f>
        <v>50.434695413231786</v>
      </c>
      <c r="N68" s="82">
        <f t="shared" ref="N68:N77" si="46">D68/H68</f>
        <v>1.5006400700157569</v>
      </c>
    </row>
    <row r="69" spans="1:14" x14ac:dyDescent="0.2">
      <c r="A69" s="41" t="s">
        <v>55</v>
      </c>
      <c r="B69" s="248"/>
      <c r="C69" s="89"/>
      <c r="D69" s="84">
        <f>+'[3]PRC RPW'!$B$121</f>
        <v>358500.07900000003</v>
      </c>
      <c r="E69" s="84"/>
      <c r="F69" s="84">
        <f t="shared" si="42"/>
        <v>358500.07900000003</v>
      </c>
      <c r="G69" s="89">
        <f t="shared" si="43"/>
        <v>0.17492278990263518</v>
      </c>
      <c r="H69" s="81">
        <f>+[4]CS21!$K$59</f>
        <v>293935.55257923214</v>
      </c>
      <c r="I69" s="89">
        <f t="shared" si="44"/>
        <v>0.21838362453231269</v>
      </c>
      <c r="J69" s="81">
        <f t="shared" si="45"/>
        <v>64564.526420767885</v>
      </c>
      <c r="K69" s="90"/>
      <c r="L69" s="90"/>
      <c r="M69" s="90"/>
      <c r="N69" s="82">
        <f t="shared" si="46"/>
        <v>1.2196553831417318</v>
      </c>
    </row>
    <row r="70" spans="1:14" x14ac:dyDescent="0.2">
      <c r="A70" s="120" t="s">
        <v>266</v>
      </c>
      <c r="B70" s="248"/>
      <c r="C70" s="89"/>
      <c r="D70" s="84">
        <f>+'[3]PRC RPW'!$B$122</f>
        <v>93592.925000000003</v>
      </c>
      <c r="E70" s="84"/>
      <c r="F70" s="84">
        <f t="shared" si="42"/>
        <v>93592.925000000003</v>
      </c>
      <c r="G70" s="89">
        <f t="shared" si="43"/>
        <v>4.566675578375002E-2</v>
      </c>
      <c r="H70" s="81">
        <f>+[4]CS21!$K$55</f>
        <v>22755.288870275508</v>
      </c>
      <c r="I70" s="89">
        <f t="shared" si="44"/>
        <v>1.6906367457645437E-2</v>
      </c>
      <c r="J70" s="81">
        <f t="shared" si="45"/>
        <v>70837.636129724502</v>
      </c>
      <c r="K70" s="90"/>
      <c r="L70" s="90"/>
      <c r="M70" s="90"/>
      <c r="N70" s="82">
        <f t="shared" si="46"/>
        <v>4.1130185397144041</v>
      </c>
    </row>
    <row r="71" spans="1:14" x14ac:dyDescent="0.2">
      <c r="A71" s="222" t="s">
        <v>298</v>
      </c>
      <c r="B71" s="248">
        <f>+'[3]PRC RPW'!$G$123</f>
        <v>1969.5419999999999</v>
      </c>
      <c r="C71" s="89">
        <f>B71/B$88</f>
        <v>6.624901779264049E-4</v>
      </c>
      <c r="D71" s="84">
        <f>+'[3]PRC RPW'!$B$123</f>
        <v>16142.687</v>
      </c>
      <c r="E71" s="84"/>
      <c r="F71" s="84">
        <f t="shared" si="42"/>
        <v>16142.687</v>
      </c>
      <c r="G71" s="89">
        <f t="shared" si="43"/>
        <v>7.8764943495730714E-3</v>
      </c>
      <c r="H71" s="81">
        <f>+[4]CS21!$K$54</f>
        <v>8427.8180625998139</v>
      </c>
      <c r="I71" s="89">
        <f t="shared" si="44"/>
        <v>6.2615680180890098E-3</v>
      </c>
      <c r="J71" s="81">
        <f t="shared" si="45"/>
        <v>7714.868937400186</v>
      </c>
      <c r="K71" s="90">
        <f>D71/B71*100</f>
        <v>819.61628642598134</v>
      </c>
      <c r="L71" s="90">
        <f>H71/B71*100</f>
        <v>427.90750654719795</v>
      </c>
      <c r="M71" s="90">
        <f>J71/B71*100</f>
        <v>391.70877987878333</v>
      </c>
      <c r="N71" s="82">
        <f>D71/H71</f>
        <v>1.9154052543726012</v>
      </c>
    </row>
    <row r="72" spans="1:14" x14ac:dyDescent="0.2">
      <c r="A72" s="222" t="s">
        <v>299</v>
      </c>
      <c r="B72" s="248"/>
      <c r="C72" s="89"/>
      <c r="D72" s="84">
        <f>+'[3]PRC RPW'!$B$124</f>
        <v>300</v>
      </c>
      <c r="E72" s="84"/>
      <c r="F72" s="84">
        <f t="shared" si="42"/>
        <v>300</v>
      </c>
      <c r="G72" s="89">
        <f t="shared" si="43"/>
        <v>1.4637887142778159E-4</v>
      </c>
      <c r="H72" s="81">
        <f>+[4]CS21!$K$57</f>
        <v>66.126000000000005</v>
      </c>
      <c r="I72" s="89">
        <f t="shared" si="44"/>
        <v>4.9129257856383649E-5</v>
      </c>
      <c r="J72" s="81">
        <f t="shared" si="45"/>
        <v>233.874</v>
      </c>
      <c r="K72" s="90"/>
      <c r="L72" s="90"/>
      <c r="M72" s="90"/>
      <c r="N72" s="82">
        <f>D72/H72</f>
        <v>4.536793394428817</v>
      </c>
    </row>
    <row r="73" spans="1:14" x14ac:dyDescent="0.2">
      <c r="A73" s="120" t="s">
        <v>280</v>
      </c>
      <c r="B73" s="248"/>
      <c r="C73" s="81"/>
      <c r="D73" s="255">
        <v>0</v>
      </c>
      <c r="E73" s="255"/>
      <c r="F73" s="255">
        <f>D73+E73</f>
        <v>0</v>
      </c>
      <c r="G73" s="89">
        <f t="shared" si="43"/>
        <v>0</v>
      </c>
      <c r="H73" s="81">
        <f>+[4]CS21!$K$56</f>
        <v>1863.749</v>
      </c>
      <c r="I73" s="89">
        <f t="shared" si="44"/>
        <v>1.3846989867915367E-3</v>
      </c>
      <c r="J73" s="81">
        <f>D73-H73</f>
        <v>-1863.749</v>
      </c>
      <c r="N73" s="82">
        <f>D73/H73</f>
        <v>0</v>
      </c>
    </row>
    <row r="74" spans="1:14" x14ac:dyDescent="0.2">
      <c r="A74" s="120" t="s">
        <v>267</v>
      </c>
      <c r="B74" s="248"/>
      <c r="C74" s="89"/>
      <c r="D74" s="248">
        <v>0</v>
      </c>
      <c r="E74" s="248"/>
      <c r="F74" s="248">
        <f t="shared" si="42"/>
        <v>0</v>
      </c>
      <c r="G74" s="89">
        <f t="shared" si="43"/>
        <v>0</v>
      </c>
      <c r="H74" s="81">
        <v>0</v>
      </c>
      <c r="I74" s="89">
        <f t="shared" si="44"/>
        <v>0</v>
      </c>
      <c r="J74" s="81">
        <f t="shared" si="45"/>
        <v>0</v>
      </c>
      <c r="K74" s="90"/>
      <c r="L74" s="90"/>
      <c r="M74" s="90"/>
      <c r="N74" s="82" t="e">
        <f t="shared" si="46"/>
        <v>#DIV/0!</v>
      </c>
    </row>
    <row r="75" spans="1:14" x14ac:dyDescent="0.2">
      <c r="A75" s="222" t="s">
        <v>297</v>
      </c>
      <c r="B75" s="248"/>
      <c r="C75" s="81"/>
      <c r="D75" s="248">
        <v>0</v>
      </c>
      <c r="E75" s="248"/>
      <c r="F75" s="248">
        <f t="shared" si="42"/>
        <v>0</v>
      </c>
      <c r="G75" s="89">
        <f t="shared" si="43"/>
        <v>0</v>
      </c>
      <c r="H75" s="81">
        <f>+[4]CS21!$K$60</f>
        <v>5059.1040000000003</v>
      </c>
      <c r="I75" s="89">
        <f t="shared" si="44"/>
        <v>3.7587337044167487E-3</v>
      </c>
      <c r="J75" s="81">
        <f t="shared" si="45"/>
        <v>-5059.1040000000003</v>
      </c>
      <c r="N75" s="82">
        <f t="shared" si="46"/>
        <v>0</v>
      </c>
    </row>
    <row r="76" spans="1:14" ht="15.75" x14ac:dyDescent="0.25">
      <c r="A76" s="119" t="s">
        <v>302</v>
      </c>
      <c r="B76" s="247">
        <f>SUM(B68:B74)</f>
        <v>104476.478</v>
      </c>
      <c r="C76" s="92">
        <f>B76/B$88</f>
        <v>3.5142505465404712E-2</v>
      </c>
      <c r="D76" s="59">
        <f>SUM(D68:D75)</f>
        <v>623500.67900000012</v>
      </c>
      <c r="E76" s="59"/>
      <c r="F76" s="59">
        <f>SUM(F68:F75)</f>
        <v>623500.67900000012</v>
      </c>
      <c r="G76" s="92">
        <f t="shared" si="43"/>
        <v>0.30422441908825182</v>
      </c>
      <c r="H76" s="59">
        <f>SUM(H68:H75)</f>
        <v>435373.565563071</v>
      </c>
      <c r="I76" s="92">
        <f t="shared" si="44"/>
        <v>0.32346702002844968</v>
      </c>
      <c r="J76" s="59">
        <f>SUM(J68:J75)</f>
        <v>188127.11343692904</v>
      </c>
      <c r="K76" s="93"/>
      <c r="L76" s="93"/>
      <c r="M76" s="93"/>
      <c r="N76" s="96">
        <f t="shared" si="46"/>
        <v>1.4321050433864153</v>
      </c>
    </row>
    <row r="77" spans="1:14" ht="15.75" x14ac:dyDescent="0.25">
      <c r="A77" s="119" t="s">
        <v>223</v>
      </c>
      <c r="B77" s="247">
        <f>B66+B76</f>
        <v>2949744.6829999997</v>
      </c>
      <c r="C77" s="92">
        <f>B77/B$88</f>
        <v>0.99219863291980404</v>
      </c>
      <c r="D77" s="59">
        <f>D66+D76</f>
        <v>2013909.0580000002</v>
      </c>
      <c r="E77" s="59"/>
      <c r="F77" s="59">
        <f>F66+F76</f>
        <v>2013909.0580000002</v>
      </c>
      <c r="G77" s="92">
        <f t="shared" si="43"/>
        <v>0.98264578356075594</v>
      </c>
      <c r="H77" s="59">
        <f>H66+H76</f>
        <v>1327585.1088257516</v>
      </c>
      <c r="I77" s="92">
        <f t="shared" si="44"/>
        <v>0.98634835220330108</v>
      </c>
      <c r="J77" s="59">
        <f>J66+J76</f>
        <v>686323.9491742485</v>
      </c>
      <c r="K77" s="93"/>
      <c r="L77" s="93"/>
      <c r="M77" s="93"/>
      <c r="N77" s="96">
        <f t="shared" si="46"/>
        <v>1.5169717139877397</v>
      </c>
    </row>
    <row r="78" spans="1:14" ht="15.75" x14ac:dyDescent="0.25">
      <c r="A78" s="251"/>
      <c r="B78" s="253"/>
      <c r="C78" s="262"/>
      <c r="D78" s="252"/>
      <c r="E78" s="262"/>
      <c r="F78" s="252"/>
      <c r="G78" s="262"/>
      <c r="H78" s="252"/>
      <c r="I78" s="59"/>
    </row>
    <row r="79" spans="1:14" x14ac:dyDescent="0.2">
      <c r="A79" s="269"/>
      <c r="B79" s="253"/>
      <c r="C79" s="252"/>
      <c r="D79" s="252"/>
      <c r="E79" s="252"/>
      <c r="F79" s="252"/>
      <c r="G79" s="252"/>
      <c r="H79" s="252"/>
      <c r="I79" s="81"/>
    </row>
    <row r="80" spans="1:14" ht="15.75" x14ac:dyDescent="0.25">
      <c r="A80" s="73" t="s">
        <v>224</v>
      </c>
      <c r="B80" s="248"/>
      <c r="C80" s="81"/>
      <c r="D80" s="81"/>
      <c r="E80" s="81"/>
      <c r="F80" s="81"/>
      <c r="G80" s="81" t="s">
        <v>301</v>
      </c>
      <c r="H80" s="81"/>
      <c r="I80" s="81"/>
    </row>
    <row r="81" spans="1:14" ht="15" customHeight="1" x14ac:dyDescent="0.25">
      <c r="A81" s="28" t="s">
        <v>45</v>
      </c>
      <c r="B81" s="81"/>
      <c r="C81" s="81"/>
      <c r="D81" s="81"/>
      <c r="E81" s="81"/>
      <c r="F81" s="81"/>
      <c r="G81" s="81"/>
      <c r="H81" s="81"/>
      <c r="I81" s="81"/>
    </row>
    <row r="82" spans="1:14" x14ac:dyDescent="0.2">
      <c r="A82" s="38" t="s">
        <v>307</v>
      </c>
      <c r="B82" s="81">
        <f>+'[3]PRC RPW'!$G$112</f>
        <v>22708.819</v>
      </c>
      <c r="C82" s="89">
        <f>B82/B$88</f>
        <v>7.6385116640358642E-3</v>
      </c>
      <c r="D82" s="81">
        <f>+'[3]PRC RPW'!$B$112</f>
        <v>35538.588000000003</v>
      </c>
      <c r="E82" s="81"/>
      <c r="F82" s="81">
        <f>D82+E82</f>
        <v>35538.588000000003</v>
      </c>
      <c r="G82" s="89">
        <f>F82/F$88</f>
        <v>1.734032801192301E-2</v>
      </c>
      <c r="H82" s="81">
        <f>+'[1]FY2013 Intl SpecServ OB&amp;IB'!$Q$22</f>
        <v>8529.4745063365426</v>
      </c>
      <c r="I82" s="89">
        <f>H82/H$88</f>
        <v>6.3370951275029275E-3</v>
      </c>
      <c r="J82" s="81">
        <f>D82-H82</f>
        <v>27009.113493663463</v>
      </c>
      <c r="K82" s="90">
        <f>D82/B82*100</f>
        <v>156.49685701400855</v>
      </c>
      <c r="L82" s="90">
        <f>H82/B82*100</f>
        <v>37.560185346215242</v>
      </c>
      <c r="M82" s="90">
        <f>J82/B82*100</f>
        <v>118.93667166779332</v>
      </c>
      <c r="N82" s="82">
        <f>D82/H82</f>
        <v>4.1665624269816863</v>
      </c>
    </row>
    <row r="83" spans="1:14" x14ac:dyDescent="0.2">
      <c r="A83" s="38" t="s">
        <v>225</v>
      </c>
      <c r="B83" s="81">
        <f>+'[3]PRC RPW'!$G$113</f>
        <v>2.4969999999999999</v>
      </c>
      <c r="C83" s="89">
        <f>B83/B$88</f>
        <v>8.3990997616818175E-7</v>
      </c>
      <c r="D83" s="81">
        <f>+'[3]PRC RPW'!$B$113</f>
        <v>13.733000000000001</v>
      </c>
      <c r="E83" s="81"/>
      <c r="F83" s="81">
        <f>D83+E83</f>
        <v>13.733000000000001</v>
      </c>
      <c r="G83" s="89">
        <f>F83/F$88</f>
        <v>6.7007368043924161E-6</v>
      </c>
      <c r="H83" s="81">
        <f>+'[1]FY2013 Intl SpecServ OB&amp;IB'!$Q$33</f>
        <v>9845.0929427260926</v>
      </c>
      <c r="I83" s="89">
        <f>H83/H$88</f>
        <v>7.3145526691959749E-3</v>
      </c>
      <c r="J83" s="81">
        <f>D83-H83</f>
        <v>-9831.3599427260924</v>
      </c>
      <c r="K83" s="90">
        <f>D83/B83*100</f>
        <v>549.97997597116546</v>
      </c>
      <c r="L83" s="90">
        <f>H83/B83*100</f>
        <v>394276.84992895846</v>
      </c>
      <c r="M83" s="90">
        <f>J83/B83*100</f>
        <v>-393726.8699529873</v>
      </c>
      <c r="N83" s="82">
        <f>D83/H83</f>
        <v>1.3949081110652625E-3</v>
      </c>
    </row>
    <row r="84" spans="1:14" ht="15.75" x14ac:dyDescent="0.25">
      <c r="A84" s="119" t="s">
        <v>53</v>
      </c>
      <c r="B84" s="59">
        <f>SUM(B82:B83)</f>
        <v>22711.315999999999</v>
      </c>
      <c r="C84" s="92">
        <f>B84/B$88</f>
        <v>7.6393515740120323E-3</v>
      </c>
      <c r="D84" s="59">
        <f>SUM(D82:D83)</f>
        <v>35552.321000000004</v>
      </c>
      <c r="E84" s="59"/>
      <c r="F84" s="59">
        <f>SUM(F82:F83)</f>
        <v>35552.321000000004</v>
      </c>
      <c r="G84" s="92">
        <f>F84/F$88</f>
        <v>1.73470287487274E-2</v>
      </c>
      <c r="H84" s="59">
        <f>SUM(H82:H83)</f>
        <v>18374.567449062633</v>
      </c>
      <c r="I84" s="92">
        <f>H84/H$88</f>
        <v>1.3651647796698901E-2</v>
      </c>
      <c r="J84" s="59">
        <f>SUM(J82:J83)</f>
        <v>17177.75355093737</v>
      </c>
      <c r="K84" s="93">
        <f>D84/B84*100</f>
        <v>156.54011859110238</v>
      </c>
      <c r="L84" s="93">
        <f>H84/B84*100</f>
        <v>80.904899782393215</v>
      </c>
      <c r="M84" s="93">
        <f>J84/B84*100</f>
        <v>75.635218808709155</v>
      </c>
      <c r="N84" s="96">
        <f>D84/H84</f>
        <v>1.9348657375776039</v>
      </c>
    </row>
    <row r="85" spans="1:14" ht="15.75" x14ac:dyDescent="0.25">
      <c r="A85" s="119" t="s">
        <v>318</v>
      </c>
      <c r="B85" s="81">
        <f>+'[3]PRC RPW'!$G$126</f>
        <v>481.66199999999998</v>
      </c>
      <c r="C85" s="81"/>
      <c r="D85" s="81">
        <f>+'[3]PRC RPW'!$B$126</f>
        <v>14.731</v>
      </c>
      <c r="E85" s="81"/>
      <c r="F85" s="81">
        <f>D85+E85</f>
        <v>14.731</v>
      </c>
      <c r="G85" s="81"/>
      <c r="H85" s="81"/>
      <c r="I85" s="81"/>
      <c r="J85" s="81">
        <f>D85-H85</f>
        <v>14.731</v>
      </c>
    </row>
    <row r="86" spans="1:14" ht="15.75" x14ac:dyDescent="0.25">
      <c r="A86" s="119" t="s">
        <v>226</v>
      </c>
      <c r="B86" s="59">
        <f>B84+B85</f>
        <v>23192.977999999999</v>
      </c>
      <c r="C86" s="92">
        <f>B86/B$88</f>
        <v>7.8013670801959003E-3</v>
      </c>
      <c r="D86" s="59">
        <f>D84+D85</f>
        <v>35567.052000000003</v>
      </c>
      <c r="E86" s="59"/>
      <c r="F86" s="59">
        <f>F84+F85</f>
        <v>35567.052000000003</v>
      </c>
      <c r="G86" s="92">
        <f>F86/F$88</f>
        <v>1.7354216439244077E-2</v>
      </c>
      <c r="H86" s="59">
        <f>H84+H85</f>
        <v>18374.567449062633</v>
      </c>
      <c r="I86" s="92">
        <f>H86/H$88</f>
        <v>1.3651647796698901E-2</v>
      </c>
      <c r="J86" s="59">
        <f>J84+J85</f>
        <v>17192.48455093737</v>
      </c>
      <c r="K86" s="93">
        <f>D86/B86*100</f>
        <v>153.35267424476498</v>
      </c>
      <c r="L86" s="93">
        <f>H86/B86*100</f>
        <v>79.224700894652827</v>
      </c>
      <c r="M86" s="93">
        <f>J86/B86*100</f>
        <v>74.127973350112129</v>
      </c>
      <c r="N86" s="96">
        <f>D86/H86</f>
        <v>1.9356674435247418</v>
      </c>
    </row>
    <row r="87" spans="1:14" x14ac:dyDescent="0.2">
      <c r="B87" s="81"/>
      <c r="C87" s="81"/>
      <c r="D87" s="81"/>
      <c r="E87" s="81"/>
      <c r="F87" s="81"/>
      <c r="G87" s="81"/>
      <c r="H87" s="83"/>
      <c r="I87" s="81"/>
    </row>
    <row r="88" spans="1:14" ht="15.75" x14ac:dyDescent="0.25">
      <c r="A88" s="119" t="s">
        <v>58</v>
      </c>
      <c r="B88" s="59">
        <f>B77+B86</f>
        <v>2972937.6609999998</v>
      </c>
      <c r="C88" s="92">
        <f>B88/B$88</f>
        <v>1</v>
      </c>
      <c r="D88" s="59">
        <f>D77+D86</f>
        <v>2049476.11</v>
      </c>
      <c r="E88" s="59"/>
      <c r="F88" s="59">
        <f>F77+F86</f>
        <v>2049476.11</v>
      </c>
      <c r="G88" s="92">
        <f>F88/F$88</f>
        <v>1</v>
      </c>
      <c r="H88" s="59">
        <f>H77+H86</f>
        <v>1345959.6762748142</v>
      </c>
      <c r="I88" s="92">
        <f>H88/H$88</f>
        <v>1</v>
      </c>
      <c r="J88" s="59">
        <f>J77+J86</f>
        <v>703516.43372518593</v>
      </c>
      <c r="K88" s="93">
        <f>D88/B88*100</f>
        <v>68.937742519317496</v>
      </c>
      <c r="L88" s="93">
        <f>H88/B88*100</f>
        <v>45.273726857161108</v>
      </c>
      <c r="M88" s="93">
        <f>J88/B88*100</f>
        <v>23.664015662156395</v>
      </c>
      <c r="N88" s="96">
        <f>D88/H88</f>
        <v>1.5226876006213605</v>
      </c>
    </row>
    <row r="89" spans="1:14" ht="15.75" x14ac:dyDescent="0.25">
      <c r="A89" s="251"/>
      <c r="B89" s="252"/>
      <c r="C89" s="213"/>
      <c r="D89" s="252"/>
      <c r="E89" s="213"/>
      <c r="F89" s="252"/>
      <c r="G89" s="83"/>
      <c r="H89" s="81"/>
      <c r="I89" s="83"/>
      <c r="J89" s="59"/>
    </row>
    <row r="90" spans="1:14" ht="15.75" x14ac:dyDescent="0.25">
      <c r="A90" s="251"/>
      <c r="B90" s="270"/>
      <c r="C90" s="212"/>
      <c r="D90" s="270"/>
      <c r="E90" s="213"/>
      <c r="F90" s="271"/>
      <c r="G90" s="83"/>
      <c r="H90" s="429"/>
      <c r="I90" s="83"/>
      <c r="J90" s="59"/>
    </row>
    <row r="91" spans="1:14" ht="15.75" thickBot="1" x14ac:dyDescent="0.25">
      <c r="D91" s="81"/>
      <c r="F91" s="81"/>
      <c r="H91" s="431"/>
    </row>
    <row r="92" spans="1:14" ht="15.75" x14ac:dyDescent="0.25">
      <c r="A92" s="121" t="s">
        <v>281</v>
      </c>
      <c r="B92" s="122"/>
      <c r="C92" s="122"/>
      <c r="D92" s="123"/>
    </row>
    <row r="93" spans="1:14" x14ac:dyDescent="0.2">
      <c r="A93" s="187" t="s">
        <v>233</v>
      </c>
      <c r="B93" s="124"/>
      <c r="C93" s="124"/>
      <c r="D93" s="257">
        <f>+'[3]PRC RPW'!$B$132</f>
        <v>47694.307999999997</v>
      </c>
      <c r="F93" s="81"/>
    </row>
    <row r="94" spans="1:14" x14ac:dyDescent="0.2">
      <c r="A94" s="187" t="s">
        <v>234</v>
      </c>
      <c r="B94" s="124"/>
      <c r="C94" s="124"/>
      <c r="D94" s="257">
        <f>+'[3]PRC RPW'!$B$133</f>
        <v>743638.08600000013</v>
      </c>
    </row>
    <row r="95" spans="1:14" x14ac:dyDescent="0.2">
      <c r="A95" s="133" t="s">
        <v>61</v>
      </c>
      <c r="B95" s="124"/>
      <c r="C95" s="124"/>
      <c r="D95" s="257">
        <f>+'[3]PRC RPW'!$B$134</f>
        <v>41205</v>
      </c>
    </row>
    <row r="96" spans="1:14" x14ac:dyDescent="0.2">
      <c r="A96" s="133" t="s">
        <v>62</v>
      </c>
      <c r="B96" s="124"/>
      <c r="C96" s="124"/>
      <c r="D96" s="257">
        <f>+'[3]PRC RPW'!$B$135</f>
        <v>24147.281999999999</v>
      </c>
    </row>
    <row r="97" spans="1:6" x14ac:dyDescent="0.2">
      <c r="A97" s="133" t="s">
        <v>296</v>
      </c>
      <c r="B97" s="124"/>
      <c r="C97" s="124"/>
      <c r="D97" s="257">
        <f>+'[3]PRC RPW'!$B$136</f>
        <v>794.47299999999996</v>
      </c>
    </row>
    <row r="98" spans="1:6" x14ac:dyDescent="0.2">
      <c r="A98" s="63" t="s">
        <v>306</v>
      </c>
      <c r="B98" s="124"/>
      <c r="C98" s="124"/>
      <c r="D98" s="257">
        <f>+'[3]PRC RPW'!$B$137</f>
        <v>56796.978999999999</v>
      </c>
    </row>
    <row r="99" spans="1:6" ht="15.75" x14ac:dyDescent="0.25">
      <c r="A99" s="125" t="s">
        <v>235</v>
      </c>
      <c r="B99" s="124"/>
      <c r="C99" s="124"/>
      <c r="D99" s="258">
        <f>SUM(D93:D98)</f>
        <v>914276.12800000014</v>
      </c>
    </row>
    <row r="100" spans="1:6" x14ac:dyDescent="0.2">
      <c r="A100" s="127" t="s">
        <v>236</v>
      </c>
      <c r="B100" s="124"/>
      <c r="C100" s="124"/>
      <c r="D100" s="257">
        <f>+'[9]ACTUAL TOTALS'!$H$78/1000</f>
        <v>1166.2239298120951</v>
      </c>
    </row>
    <row r="101" spans="1:6" x14ac:dyDescent="0.2">
      <c r="A101" s="133" t="s">
        <v>262</v>
      </c>
      <c r="B101" s="124"/>
      <c r="C101" s="124"/>
      <c r="D101" s="257">
        <f>D95</f>
        <v>41205</v>
      </c>
    </row>
    <row r="102" spans="1:6" x14ac:dyDescent="0.2">
      <c r="A102" s="133" t="s">
        <v>263</v>
      </c>
      <c r="B102" s="124"/>
      <c r="C102" s="124"/>
      <c r="D102" s="257">
        <f>D96</f>
        <v>24147.281999999999</v>
      </c>
    </row>
    <row r="103" spans="1:6" x14ac:dyDescent="0.2">
      <c r="A103" s="133" t="s">
        <v>279</v>
      </c>
      <c r="B103" s="124"/>
      <c r="C103" s="124"/>
      <c r="D103" s="257">
        <f>D117</f>
        <v>0</v>
      </c>
    </row>
    <row r="104" spans="1:6" x14ac:dyDescent="0.2">
      <c r="A104" s="133" t="s">
        <v>282</v>
      </c>
      <c r="B104" s="124"/>
      <c r="C104" s="124"/>
      <c r="D104" s="257">
        <f>+'[3]PRC RPW'!$B$290</f>
        <v>0</v>
      </c>
    </row>
    <row r="105" spans="1:6" ht="15.75" x14ac:dyDescent="0.25">
      <c r="A105" s="125" t="s">
        <v>237</v>
      </c>
      <c r="B105" s="124"/>
      <c r="C105" s="124"/>
      <c r="D105" s="126">
        <f>D99-SUM(D100:D104)</f>
        <v>847757.62207018805</v>
      </c>
    </row>
    <row r="106" spans="1:6" ht="15.75" x14ac:dyDescent="0.25">
      <c r="A106" s="86" t="s">
        <v>264</v>
      </c>
      <c r="B106" s="124"/>
      <c r="C106" s="124"/>
      <c r="D106" s="126"/>
    </row>
    <row r="107" spans="1:6" ht="15.75" x14ac:dyDescent="0.25">
      <c r="A107" s="125" t="s">
        <v>239</v>
      </c>
      <c r="B107" s="124"/>
      <c r="C107" s="124"/>
      <c r="D107" s="128"/>
    </row>
    <row r="108" spans="1:6" x14ac:dyDescent="0.2">
      <c r="A108" s="127" t="s">
        <v>240</v>
      </c>
      <c r="B108" s="124"/>
      <c r="C108" s="124"/>
      <c r="D108" s="85">
        <f>+'[3]PRC RPW'!$B$120</f>
        <v>154964.98800000001</v>
      </c>
    </row>
    <row r="109" spans="1:6" x14ac:dyDescent="0.2">
      <c r="A109" s="127" t="s">
        <v>238</v>
      </c>
      <c r="B109" s="124"/>
      <c r="C109" s="124"/>
      <c r="D109" s="85">
        <f>+'[9]ACTUAL TOTALS'!$F$78/1000</f>
        <v>1163.0320260537048</v>
      </c>
    </row>
    <row r="110" spans="1:6" ht="16.5" thickBot="1" x14ac:dyDescent="0.3">
      <c r="A110" s="194" t="s">
        <v>241</v>
      </c>
      <c r="B110" s="129"/>
      <c r="C110" s="129"/>
      <c r="D110" s="144">
        <f>D108+D109</f>
        <v>156128.02002605371</v>
      </c>
      <c r="F110" s="153"/>
    </row>
    <row r="112" spans="1:6" ht="15.75" x14ac:dyDescent="0.25">
      <c r="A112" s="450"/>
      <c r="B112" s="255"/>
      <c r="C112" s="255"/>
      <c r="D112" s="255"/>
      <c r="E112" s="248"/>
    </row>
    <row r="113" spans="1:5" ht="15.75" x14ac:dyDescent="0.25">
      <c r="A113" s="256"/>
      <c r="B113" s="255"/>
      <c r="C113" s="255"/>
      <c r="D113" s="255"/>
      <c r="E113" s="248"/>
    </row>
    <row r="114" spans="1:5" x14ac:dyDescent="0.2">
      <c r="A114" s="255"/>
      <c r="B114" s="255"/>
      <c r="C114" s="255"/>
      <c r="D114" s="255"/>
      <c r="E114" s="248"/>
    </row>
    <row r="115" spans="1:5" x14ac:dyDescent="0.2">
      <c r="A115" s="255"/>
      <c r="B115" s="255"/>
      <c r="C115" s="255"/>
      <c r="D115" s="255"/>
      <c r="E115" s="248"/>
    </row>
    <row r="116" spans="1:5" x14ac:dyDescent="0.2">
      <c r="A116" s="451"/>
      <c r="B116" s="255"/>
      <c r="C116" s="255"/>
      <c r="D116" s="255"/>
      <c r="E116" s="248"/>
    </row>
    <row r="117" spans="1:5" ht="15.75" x14ac:dyDescent="0.25">
      <c r="A117" s="379"/>
      <c r="B117" s="255"/>
      <c r="C117" s="255"/>
      <c r="D117" s="256"/>
      <c r="E117" s="248"/>
    </row>
    <row r="118" spans="1:5" x14ac:dyDescent="0.2">
      <c r="A118" s="255"/>
      <c r="B118" s="255"/>
      <c r="C118" s="255"/>
      <c r="D118" s="255"/>
      <c r="E118" s="248"/>
    </row>
  </sheetData>
  <phoneticPr fontId="19" type="noConversion"/>
  <printOptions horizontalCentered="1" headings="1" gridLines="1"/>
  <pageMargins left="0.25" right="0.25" top="0.75" bottom="0.5" header="0.5" footer="0.5"/>
  <pageSetup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E25" sqref="E25"/>
    </sheetView>
  </sheetViews>
  <sheetFormatPr defaultRowHeight="12.75" x14ac:dyDescent="0.2"/>
  <cols>
    <col min="1" max="1" width="31" customWidth="1"/>
    <col min="2" max="2" width="9.28515625" bestFit="1" customWidth="1"/>
  </cols>
  <sheetData>
    <row r="1" spans="1:3" ht="15.75" x14ac:dyDescent="0.25">
      <c r="A1" s="60" t="str">
        <f>+Financial_Results!A1</f>
        <v>2013 ACD</v>
      </c>
    </row>
    <row r="3" spans="1:3" x14ac:dyDescent="0.2">
      <c r="A3" s="385" t="s">
        <v>361</v>
      </c>
      <c r="B3" s="392" t="s">
        <v>5</v>
      </c>
      <c r="C3" t="s">
        <v>377</v>
      </c>
    </row>
    <row r="4" spans="1:3" x14ac:dyDescent="0.2">
      <c r="A4" s="386" t="s">
        <v>365</v>
      </c>
    </row>
    <row r="5" spans="1:3" x14ac:dyDescent="0.2">
      <c r="A5" s="385" t="s">
        <v>342</v>
      </c>
      <c r="B5" s="387">
        <f>+FCM!E39</f>
        <v>136154.16800000001</v>
      </c>
      <c r="C5" s="387">
        <f>+'[10]RPW Report revised'!$E$27-B5</f>
        <v>0</v>
      </c>
    </row>
    <row r="6" spans="1:3" x14ac:dyDescent="0.2">
      <c r="A6" s="385" t="s">
        <v>362</v>
      </c>
      <c r="B6" s="387">
        <f>+Standard!E23</f>
        <v>56249.764000000003</v>
      </c>
      <c r="C6" s="387">
        <f>+'[10]RPW Report revised'!$E$41-B6</f>
        <v>0</v>
      </c>
    </row>
    <row r="7" spans="1:3" x14ac:dyDescent="0.2">
      <c r="A7" s="385" t="s">
        <v>363</v>
      </c>
      <c r="B7" s="387">
        <v>0</v>
      </c>
      <c r="C7" s="387">
        <f>+'[10]RPW Report revised'!$E$42-B7</f>
        <v>0</v>
      </c>
    </row>
    <row r="8" spans="1:3" x14ac:dyDescent="0.2">
      <c r="A8" s="385" t="s">
        <v>364</v>
      </c>
      <c r="B8" s="387">
        <f>+Periodicals!E15</f>
        <v>6650.3320000000012</v>
      </c>
      <c r="C8" s="387">
        <f>+'[10]RPW Report revised'!$E$48-B8</f>
        <v>0</v>
      </c>
    </row>
    <row r="9" spans="1:3" ht="13.5" thickBot="1" x14ac:dyDescent="0.25">
      <c r="A9" s="388" t="s">
        <v>40</v>
      </c>
      <c r="B9" s="389">
        <f>+'Package Services'!E23</f>
        <v>2893.7440000000001</v>
      </c>
      <c r="C9" s="387">
        <f>+'[10]RPW Report revised'!$E$58-B9</f>
        <v>0</v>
      </c>
    </row>
    <row r="10" spans="1:3" ht="13.5" thickTop="1" x14ac:dyDescent="0.2">
      <c r="A10" s="385" t="s">
        <v>368</v>
      </c>
      <c r="B10" s="387">
        <f>SUM(B5:B9)</f>
        <v>201948.008</v>
      </c>
    </row>
    <row r="11" spans="1:3" x14ac:dyDescent="0.2">
      <c r="A11" s="385" t="s">
        <v>367</v>
      </c>
      <c r="B11" s="387">
        <f>+'[3]PRC RPW'!$B$299</f>
        <v>201948.00799999997</v>
      </c>
    </row>
    <row r="12" spans="1:3" x14ac:dyDescent="0.2">
      <c r="A12" s="385"/>
      <c r="B12" s="387">
        <f>+B10-B11</f>
        <v>0</v>
      </c>
    </row>
    <row r="13" spans="1:3" x14ac:dyDescent="0.2">
      <c r="B13" s="387"/>
    </row>
    <row r="14" spans="1:3" x14ac:dyDescent="0.2">
      <c r="B14" s="387"/>
    </row>
    <row r="15" spans="1:3" x14ac:dyDescent="0.2">
      <c r="A15" s="386" t="s">
        <v>366</v>
      </c>
      <c r="B15" s="387"/>
    </row>
    <row r="16" spans="1:3" x14ac:dyDescent="0.2">
      <c r="A16" s="390"/>
      <c r="B16" s="391"/>
      <c r="C16" s="391"/>
    </row>
    <row r="17" spans="1:3" ht="15.75" x14ac:dyDescent="0.25">
      <c r="A17" s="479" t="s">
        <v>398</v>
      </c>
      <c r="B17" s="391"/>
      <c r="C17" s="391"/>
    </row>
    <row r="18" spans="1:3" x14ac:dyDescent="0.2">
      <c r="A18" s="390"/>
      <c r="B18" s="391"/>
      <c r="C18" s="480"/>
    </row>
    <row r="19" spans="1:3" x14ac:dyDescent="0.2">
      <c r="A19" s="390"/>
      <c r="B19" s="391"/>
      <c r="C19" s="480"/>
    </row>
    <row r="20" spans="1:3" x14ac:dyDescent="0.2">
      <c r="A20" s="480"/>
      <c r="B20" s="391"/>
      <c r="C20" s="480"/>
    </row>
    <row r="21" spans="1:3" x14ac:dyDescent="0.2">
      <c r="B21" s="387"/>
    </row>
    <row r="22" spans="1:3" x14ac:dyDescent="0.2">
      <c r="B22" s="38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workbookViewId="0">
      <selection activeCell="C8" sqref="C8"/>
    </sheetView>
  </sheetViews>
  <sheetFormatPr defaultRowHeight="15" x14ac:dyDescent="0.2"/>
  <cols>
    <col min="1" max="1" width="4.28515625" style="1" customWidth="1"/>
    <col min="2" max="2" width="60.42578125" style="1" customWidth="1"/>
    <col min="3" max="3" width="15.5703125" style="1" bestFit="1" customWidth="1"/>
    <col min="4" max="4" width="10.28515625" style="1" bestFit="1" customWidth="1"/>
    <col min="5" max="6" width="9.140625" style="1"/>
    <col min="7" max="7" width="12.85546875" style="1" bestFit="1" customWidth="1"/>
    <col min="8" max="16384" width="9.140625" style="1"/>
  </cols>
  <sheetData>
    <row r="1" spans="1:7" ht="15.75" x14ac:dyDescent="0.25">
      <c r="A1" s="76"/>
      <c r="C1" s="2"/>
    </row>
    <row r="2" spans="1:7" ht="15.75" x14ac:dyDescent="0.25">
      <c r="A2" s="18" t="s">
        <v>321</v>
      </c>
      <c r="B2" s="4"/>
      <c r="C2" s="3"/>
    </row>
    <row r="3" spans="1:7" ht="18" x14ac:dyDescent="0.25">
      <c r="A3" s="204" t="s">
        <v>305</v>
      </c>
      <c r="B3" s="47"/>
      <c r="C3" s="51"/>
    </row>
    <row r="4" spans="1:7" ht="18" x14ac:dyDescent="0.25">
      <c r="A4" s="204" t="s">
        <v>304</v>
      </c>
      <c r="B4" s="4"/>
      <c r="C4" s="51"/>
    </row>
    <row r="5" spans="1:7" ht="18" x14ac:dyDescent="0.25">
      <c r="A5" s="204" t="s">
        <v>303</v>
      </c>
      <c r="B5" s="4"/>
      <c r="C5" s="51"/>
    </row>
    <row r="6" spans="1:7" ht="15.75" x14ac:dyDescent="0.25">
      <c r="B6" s="169"/>
      <c r="C6" s="3"/>
    </row>
    <row r="7" spans="1:7" x14ac:dyDescent="0.2">
      <c r="A7" s="29">
        <v>1</v>
      </c>
      <c r="B7" s="1" t="s">
        <v>320</v>
      </c>
      <c r="C7" s="184">
        <f>+'Appendix '!E25/1000</f>
        <v>-3.1193724501610269</v>
      </c>
    </row>
    <row r="8" spans="1:7" x14ac:dyDescent="0.2">
      <c r="A8" s="29">
        <v>2</v>
      </c>
      <c r="B8" s="170" t="s">
        <v>309</v>
      </c>
      <c r="C8" s="184">
        <f>'Appendix '!E36/1000</f>
        <v>-375.87840428526886</v>
      </c>
    </row>
    <row r="9" spans="1:7" x14ac:dyDescent="0.2">
      <c r="A9" s="29">
        <v>3</v>
      </c>
      <c r="B9" s="170" t="s">
        <v>308</v>
      </c>
      <c r="C9" s="184">
        <f>'Appendix '!E37/1000</f>
        <v>-35.216109686442465</v>
      </c>
    </row>
    <row r="10" spans="1:7" x14ac:dyDescent="0.2">
      <c r="A10" s="29">
        <v>4</v>
      </c>
      <c r="B10" s="136" t="s">
        <v>286</v>
      </c>
      <c r="C10" s="184">
        <f>'Appendix '!E42/1000</f>
        <v>-20.958724200504918</v>
      </c>
    </row>
    <row r="11" spans="1:7" x14ac:dyDescent="0.2">
      <c r="A11" s="29">
        <v>5</v>
      </c>
      <c r="B11" s="136" t="s">
        <v>287</v>
      </c>
      <c r="C11" s="184">
        <f>'Appendix '!E43/1000</f>
        <v>-499.89975575073646</v>
      </c>
      <c r="G11" s="63"/>
    </row>
    <row r="12" spans="1:7" x14ac:dyDescent="0.2">
      <c r="A12" s="29">
        <v>6</v>
      </c>
      <c r="B12" s="136" t="s">
        <v>288</v>
      </c>
      <c r="C12" s="184">
        <f>'Appendix '!E47/1000</f>
        <v>-22.848799061010826</v>
      </c>
      <c r="G12" s="63"/>
    </row>
    <row r="13" spans="1:7" x14ac:dyDescent="0.2">
      <c r="A13" s="29">
        <v>7</v>
      </c>
      <c r="B13" s="171" t="s">
        <v>289</v>
      </c>
      <c r="C13" s="184">
        <f>'Appendix '!E51/1000</f>
        <v>-55.827314295981893</v>
      </c>
    </row>
    <row r="14" spans="1:7" x14ac:dyDescent="0.2">
      <c r="A14" s="29"/>
      <c r="B14" s="171"/>
      <c r="C14" s="184"/>
    </row>
    <row r="15" spans="1:7" x14ac:dyDescent="0.2">
      <c r="A15" s="29"/>
      <c r="B15" s="171"/>
      <c r="C15" s="184"/>
    </row>
    <row r="16" spans="1:7" ht="15.75" x14ac:dyDescent="0.25">
      <c r="A16" s="76" t="s">
        <v>269</v>
      </c>
      <c r="C16" s="184">
        <f>SUM(C7:C13)</f>
        <v>-1013.7484797301064</v>
      </c>
    </row>
    <row r="17" spans="1:7" s="63" customFormat="1" x14ac:dyDescent="0.2">
      <c r="A17" s="191"/>
      <c r="B17" s="1"/>
      <c r="C17" s="183"/>
      <c r="G17" s="1"/>
    </row>
    <row r="18" spans="1:7" s="63" customFormat="1" x14ac:dyDescent="0.2">
      <c r="A18" s="1"/>
      <c r="B18" s="1"/>
      <c r="C18" s="183"/>
      <c r="G18" s="1"/>
    </row>
  </sheetData>
  <printOptions horizontalCentered="1"/>
  <pageMargins left="0.5" right="0.5" top="0.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 enableFormatConditionsCalculation="0">
    <pageSetUpPr fitToPage="1"/>
  </sheetPr>
  <dimension ref="A1:O110"/>
  <sheetViews>
    <sheetView view="pageBreakPreview" zoomScale="85" zoomScaleNormal="85" zoomScaleSheetLayoutView="85" workbookViewId="0">
      <selection activeCell="C10" sqref="C10"/>
    </sheetView>
  </sheetViews>
  <sheetFormatPr defaultColWidth="8.85546875" defaultRowHeight="15" x14ac:dyDescent="0.2"/>
  <cols>
    <col min="1" max="1" width="51.42578125" style="63" bestFit="1" customWidth="1"/>
    <col min="2" max="2" width="22" style="63" bestFit="1" customWidth="1"/>
    <col min="3" max="3" width="18.28515625" style="63" customWidth="1"/>
    <col min="4" max="4" width="20" style="63" customWidth="1"/>
    <col min="5" max="5" width="20" style="63" bestFit="1" customWidth="1"/>
    <col min="6" max="6" width="15.5703125" style="63" customWidth="1"/>
    <col min="7" max="7" width="13.85546875" style="63" customWidth="1"/>
    <col min="8" max="8" width="18.140625" style="63" bestFit="1" customWidth="1"/>
    <col min="9" max="9" width="12.7109375" style="63" bestFit="1" customWidth="1"/>
    <col min="10" max="10" width="8.85546875" style="63"/>
    <col min="11" max="11" width="13.5703125" style="63" bestFit="1" customWidth="1"/>
    <col min="12" max="12" width="15.5703125" style="63" bestFit="1" customWidth="1"/>
    <col min="13" max="13" width="15.140625" style="63" bestFit="1" customWidth="1"/>
    <col min="14" max="14" width="13.42578125" style="63" bestFit="1" customWidth="1"/>
    <col min="15" max="15" width="15.140625" style="63" bestFit="1" customWidth="1"/>
    <col min="16" max="16384" width="8.85546875" style="63"/>
  </cols>
  <sheetData>
    <row r="1" spans="1:15" ht="18" x14ac:dyDescent="0.25">
      <c r="A1" s="49" t="s">
        <v>385</v>
      </c>
      <c r="B1" s="61"/>
      <c r="C1" s="62"/>
      <c r="D1" s="62"/>
      <c r="E1" s="62"/>
      <c r="I1" s="64">
        <f ca="1">NOW()</f>
        <v>41706.557639120372</v>
      </c>
    </row>
    <row r="2" spans="1:15" ht="18" x14ac:dyDescent="0.25">
      <c r="A2" s="172" t="s">
        <v>376</v>
      </c>
      <c r="B2" s="156"/>
      <c r="C2" s="157"/>
      <c r="D2" s="157"/>
      <c r="E2" s="157"/>
      <c r="F2" s="157"/>
      <c r="G2" s="157"/>
      <c r="H2" s="157"/>
      <c r="I2" s="157"/>
    </row>
    <row r="3" spans="1:15" ht="18" x14ac:dyDescent="0.25">
      <c r="A3" s="172" t="s">
        <v>371</v>
      </c>
      <c r="B3" s="156"/>
      <c r="C3" s="157"/>
      <c r="D3" s="157"/>
      <c r="E3" s="157"/>
      <c r="F3" s="157"/>
      <c r="G3" s="157"/>
      <c r="H3" s="157"/>
      <c r="I3" s="157"/>
    </row>
    <row r="4" spans="1:15" ht="18" x14ac:dyDescent="0.25">
      <c r="A4" s="172"/>
      <c r="B4" s="156"/>
      <c r="C4" s="157"/>
      <c r="D4" s="157"/>
      <c r="E4" s="157"/>
      <c r="F4" s="157"/>
      <c r="G4" s="157"/>
      <c r="H4" s="157"/>
      <c r="I4" s="157"/>
    </row>
    <row r="6" spans="1:15" ht="15.75" x14ac:dyDescent="0.25">
      <c r="A6" s="68"/>
      <c r="B6" s="20"/>
      <c r="C6" s="69"/>
      <c r="D6" s="69"/>
      <c r="E6" s="135" t="s">
        <v>13</v>
      </c>
      <c r="F6" s="68"/>
      <c r="G6" s="136"/>
      <c r="H6" s="135" t="s">
        <v>13</v>
      </c>
      <c r="I6" s="136"/>
    </row>
    <row r="7" spans="1:15" ht="15.75" x14ac:dyDescent="0.25">
      <c r="C7" s="191"/>
      <c r="D7" s="70" t="s">
        <v>14</v>
      </c>
      <c r="E7" s="135" t="s">
        <v>0</v>
      </c>
      <c r="G7" s="136"/>
      <c r="H7" s="135" t="s">
        <v>0</v>
      </c>
      <c r="I7" s="136"/>
    </row>
    <row r="8" spans="1:15" ht="15.75" x14ac:dyDescent="0.25">
      <c r="B8" s="60" t="s">
        <v>2</v>
      </c>
      <c r="C8" s="60" t="s">
        <v>3</v>
      </c>
      <c r="D8" s="60" t="s">
        <v>1</v>
      </c>
      <c r="E8" s="135" t="s">
        <v>1</v>
      </c>
      <c r="F8" s="60" t="s">
        <v>15</v>
      </c>
      <c r="G8" s="135" t="s">
        <v>16</v>
      </c>
      <c r="H8" s="135" t="s">
        <v>16</v>
      </c>
      <c r="I8" s="135" t="s">
        <v>1</v>
      </c>
    </row>
    <row r="9" spans="1:15" ht="15.75" x14ac:dyDescent="0.25">
      <c r="A9" s="60"/>
      <c r="B9" s="71" t="s">
        <v>5</v>
      </c>
      <c r="C9" s="71" t="s">
        <v>6</v>
      </c>
      <c r="D9" s="71" t="s">
        <v>6</v>
      </c>
      <c r="E9" s="137" t="s">
        <v>6</v>
      </c>
      <c r="F9" s="72" t="s">
        <v>17</v>
      </c>
      <c r="G9" s="137" t="s">
        <v>17</v>
      </c>
      <c r="H9" s="137" t="s">
        <v>17</v>
      </c>
      <c r="I9" s="137" t="s">
        <v>18</v>
      </c>
    </row>
    <row r="10" spans="1:15" ht="15.75" x14ac:dyDescent="0.25">
      <c r="A10" s="73" t="s">
        <v>8</v>
      </c>
    </row>
    <row r="11" spans="1:15" x14ac:dyDescent="0.2">
      <c r="A11" s="175" t="s">
        <v>396</v>
      </c>
      <c r="B11" s="249">
        <v>39116.171999999999</v>
      </c>
      <c r="C11" s="249">
        <v>794089.59199999995</v>
      </c>
      <c r="D11" s="249">
        <v>419666.81030837988</v>
      </c>
      <c r="E11" s="249">
        <v>374422.78169162007</v>
      </c>
      <c r="F11" s="403">
        <v>2030.0800190775312</v>
      </c>
      <c r="G11" s="403">
        <v>1072.8729035867311</v>
      </c>
      <c r="H11" s="403">
        <v>957.20711549080022</v>
      </c>
      <c r="I11" s="152">
        <v>1.8921905961934098</v>
      </c>
    </row>
    <row r="12" spans="1:15" x14ac:dyDescent="0.2">
      <c r="A12" s="175" t="s">
        <v>394</v>
      </c>
      <c r="B12" s="249">
        <v>871365.66200000001</v>
      </c>
      <c r="C12" s="249">
        <v>6374319.8780000005</v>
      </c>
      <c r="D12" s="249">
        <v>4861058.1924363617</v>
      </c>
      <c r="E12" s="249">
        <v>1513261.6855636388</v>
      </c>
      <c r="F12" s="403">
        <v>731.53214040697424</v>
      </c>
      <c r="G12" s="403">
        <v>557.86662298340161</v>
      </c>
      <c r="H12" s="403">
        <v>173.66551742357262</v>
      </c>
      <c r="I12" s="152">
        <v>1.31130293562793</v>
      </c>
    </row>
    <row r="13" spans="1:15" x14ac:dyDescent="0.2">
      <c r="A13" s="175" t="s">
        <v>290</v>
      </c>
      <c r="B13" s="249">
        <v>1345642.4350000001</v>
      </c>
      <c r="C13" s="249">
        <v>2125411.0090000001</v>
      </c>
      <c r="D13" s="249">
        <v>1643747.9514032297</v>
      </c>
      <c r="E13" s="249">
        <v>481663.05759677035</v>
      </c>
      <c r="F13" s="403">
        <v>157.94768013539942</v>
      </c>
      <c r="G13" s="403">
        <v>122.15339741446469</v>
      </c>
      <c r="H13" s="403">
        <v>35.794282720934731</v>
      </c>
      <c r="I13" s="152">
        <v>1.2930273203903224</v>
      </c>
      <c r="M13" s="173"/>
      <c r="N13" s="173"/>
      <c r="O13" s="173"/>
    </row>
    <row r="14" spans="1:15" x14ac:dyDescent="0.2">
      <c r="A14" s="63" t="s">
        <v>319</v>
      </c>
      <c r="B14" s="249">
        <v>544333.96100000001</v>
      </c>
      <c r="C14" s="249">
        <v>1191738.939</v>
      </c>
      <c r="D14" s="249">
        <v>1001675.4880663146</v>
      </c>
      <c r="E14" s="249">
        <v>190063.45093368541</v>
      </c>
      <c r="F14" s="403">
        <v>218.93525379358061</v>
      </c>
      <c r="G14" s="403">
        <v>184.01855475380023</v>
      </c>
      <c r="H14" s="403">
        <v>34.916699039780362</v>
      </c>
      <c r="I14" s="152">
        <v>1.1897455345549022</v>
      </c>
      <c r="M14" s="189"/>
      <c r="N14" s="189"/>
    </row>
    <row r="15" spans="1:15" x14ac:dyDescent="0.2">
      <c r="A15" s="63" t="s">
        <v>372</v>
      </c>
      <c r="B15" s="249">
        <v>25193.074000000001</v>
      </c>
      <c r="C15" s="249">
        <v>343939.79100000003</v>
      </c>
      <c r="D15" s="249">
        <v>340865.06907339161</v>
      </c>
      <c r="E15" s="249">
        <v>3074.7219266084139</v>
      </c>
      <c r="F15" s="403">
        <v>1365.2156580812648</v>
      </c>
      <c r="G15" s="403">
        <v>1353.0110262582152</v>
      </c>
      <c r="H15" s="403">
        <v>12.204631823049517</v>
      </c>
      <c r="I15" s="152">
        <v>1.0090203491222105</v>
      </c>
      <c r="M15" s="189"/>
      <c r="N15" s="189"/>
    </row>
    <row r="16" spans="1:15" x14ac:dyDescent="0.2">
      <c r="A16" s="63" t="s">
        <v>10</v>
      </c>
      <c r="B16" s="249">
        <v>282196.33199999999</v>
      </c>
      <c r="C16" s="249">
        <v>2213403.372</v>
      </c>
      <c r="D16" s="249">
        <v>1264923.6369179615</v>
      </c>
      <c r="E16" s="249">
        <v>948479.73508203845</v>
      </c>
      <c r="F16" s="403">
        <v>784.34873916079107</v>
      </c>
      <c r="G16" s="403">
        <v>448.24240908913077</v>
      </c>
      <c r="H16" s="403">
        <v>336.10633007166035</v>
      </c>
      <c r="I16" s="152">
        <v>1.7498316162334102</v>
      </c>
    </row>
    <row r="17" spans="1:12" x14ac:dyDescent="0.2">
      <c r="A17" s="63" t="s">
        <v>276</v>
      </c>
      <c r="B17" s="249"/>
      <c r="C17" s="249">
        <v>688761.61300000001</v>
      </c>
      <c r="D17" s="249">
        <v>343011.8456755837</v>
      </c>
      <c r="E17" s="249">
        <v>345749.76732441632</v>
      </c>
      <c r="F17" s="403">
        <v>0</v>
      </c>
      <c r="G17" s="403">
        <v>0</v>
      </c>
      <c r="H17" s="403">
        <v>0</v>
      </c>
      <c r="I17" s="152">
        <v>2.0079820031971201</v>
      </c>
    </row>
    <row r="18" spans="1:12" x14ac:dyDescent="0.2">
      <c r="A18" s="63" t="s">
        <v>246</v>
      </c>
      <c r="B18" s="249"/>
      <c r="C18" s="249">
        <v>9056.4670000000006</v>
      </c>
      <c r="D18" s="249">
        <v>6103.8690349013614</v>
      </c>
      <c r="E18" s="249">
        <v>2952.5979650986392</v>
      </c>
      <c r="F18" s="403">
        <v>0</v>
      </c>
      <c r="G18" s="403">
        <v>0</v>
      </c>
      <c r="H18" s="403">
        <v>0</v>
      </c>
      <c r="I18" s="152">
        <v>1.48372564159158</v>
      </c>
    </row>
    <row r="19" spans="1:12" ht="15.75" x14ac:dyDescent="0.25">
      <c r="A19" s="417" t="s">
        <v>19</v>
      </c>
      <c r="B19" s="419">
        <f>SUM(B11:B16)</f>
        <v>3107847.6360000004</v>
      </c>
      <c r="C19" s="419">
        <f>SUM(C11:C18)</f>
        <v>13740720.660999998</v>
      </c>
      <c r="D19" s="419">
        <f>SUM(D11:D18)</f>
        <v>9881052.862916125</v>
      </c>
      <c r="E19" s="419">
        <f>+C19-D19</f>
        <v>3859667.7980838735</v>
      </c>
      <c r="F19" s="420">
        <f>C19/$B19*100</f>
        <v>442.12980397858848</v>
      </c>
      <c r="G19" s="420">
        <f>D19/$B19*100</f>
        <v>317.93878015312475</v>
      </c>
      <c r="H19" s="420">
        <f>E19/$B19*100</f>
        <v>124.19102382546379</v>
      </c>
      <c r="I19" s="422">
        <f>C19/D19</f>
        <v>1.3906130097298961</v>
      </c>
      <c r="J19" s="155"/>
      <c r="K19" s="155"/>
    </row>
    <row r="20" spans="1:12" ht="15.75" x14ac:dyDescent="0.25">
      <c r="A20" s="73" t="s">
        <v>20</v>
      </c>
      <c r="B20" s="249"/>
      <c r="C20" s="249"/>
      <c r="D20" s="249"/>
      <c r="E20" s="249"/>
      <c r="F20" s="403"/>
      <c r="G20" s="403"/>
      <c r="H20" s="403"/>
      <c r="I20" s="81"/>
    </row>
    <row r="21" spans="1:12" ht="15.75" x14ac:dyDescent="0.25">
      <c r="A21" s="76" t="s">
        <v>83</v>
      </c>
      <c r="B21" s="249"/>
      <c r="C21" s="249"/>
      <c r="D21" s="249"/>
      <c r="E21" s="249"/>
      <c r="F21" s="403"/>
      <c r="G21" s="403"/>
      <c r="H21" s="403"/>
      <c r="I21" s="81"/>
    </row>
    <row r="22" spans="1:12" x14ac:dyDescent="0.2">
      <c r="A22" s="38" t="s">
        <v>242</v>
      </c>
      <c r="B22" s="405">
        <f>+FCM!B15</f>
        <v>22497927.787</v>
      </c>
      <c r="C22" s="405">
        <f>+FCM!F15</f>
        <v>10576916.388371246</v>
      </c>
      <c r="D22" s="405">
        <f>+FCM!H15</f>
        <v>6196674.3785213837</v>
      </c>
      <c r="E22" s="249">
        <f t="shared" ref="E22:E29" si="0">C22-D22</f>
        <v>4380242.0098498622</v>
      </c>
      <c r="F22" s="403">
        <f t="shared" ref="F22:H29" si="1">C22/$B22*100</f>
        <v>47.012847087556729</v>
      </c>
      <c r="G22" s="403">
        <f t="shared" si="1"/>
        <v>27.543311709365582</v>
      </c>
      <c r="H22" s="403">
        <f t="shared" si="1"/>
        <v>19.46953537819115</v>
      </c>
      <c r="I22" s="152">
        <f t="shared" ref="I22:I25" si="2">C22/D22</f>
        <v>1.7068698050413054</v>
      </c>
    </row>
    <row r="23" spans="1:12" x14ac:dyDescent="0.2">
      <c r="A23" s="38" t="s">
        <v>243</v>
      </c>
      <c r="B23" s="405">
        <f>+FCM!B19</f>
        <v>41144184.487000003</v>
      </c>
      <c r="C23" s="405">
        <f>+FCM!F19</f>
        <v>14934667.148913661</v>
      </c>
      <c r="D23" s="405">
        <f>+FCM!H19</f>
        <v>4800006.0579583887</v>
      </c>
      <c r="E23" s="249">
        <f t="shared" si="0"/>
        <v>10134661.090955272</v>
      </c>
      <c r="F23" s="403">
        <f t="shared" si="1"/>
        <v>36.298367157167611</v>
      </c>
      <c r="G23" s="403">
        <f t="shared" si="1"/>
        <v>11.666305014442582</v>
      </c>
      <c r="H23" s="403">
        <f t="shared" si="1"/>
        <v>24.632062142725029</v>
      </c>
      <c r="I23" s="152">
        <f t="shared" si="2"/>
        <v>3.1113850625567543</v>
      </c>
    </row>
    <row r="24" spans="1:12" x14ac:dyDescent="0.2">
      <c r="A24" s="38" t="s">
        <v>71</v>
      </c>
      <c r="B24" s="405">
        <f>+FCM!B23</f>
        <v>1894431.9619999998</v>
      </c>
      <c r="C24" s="405">
        <f>+FCM!F23</f>
        <v>2519470.707803003</v>
      </c>
      <c r="D24" s="405">
        <f>+FCM!H23</f>
        <v>1685662.2646611335</v>
      </c>
      <c r="E24" s="249">
        <f t="shared" si="0"/>
        <v>833808.4431418695</v>
      </c>
      <c r="F24" s="403">
        <f t="shared" si="1"/>
        <v>132.99346497211405</v>
      </c>
      <c r="G24" s="403">
        <f t="shared" si="1"/>
        <v>88.979826062559525</v>
      </c>
      <c r="H24" s="403">
        <f t="shared" si="1"/>
        <v>44.013638909554551</v>
      </c>
      <c r="I24" s="152">
        <f t="shared" si="2"/>
        <v>1.4946473920797467</v>
      </c>
    </row>
    <row r="25" spans="1:12" x14ac:dyDescent="0.2">
      <c r="A25" s="38" t="s">
        <v>72</v>
      </c>
      <c r="B25" s="405">
        <f>+FCM!B25</f>
        <v>247186.73199999999</v>
      </c>
      <c r="C25" s="405">
        <f>+FCM!F25</f>
        <v>580383.49660978618</v>
      </c>
      <c r="D25" s="405">
        <f>+FCM!H25</f>
        <v>583502.8690599472</v>
      </c>
      <c r="E25" s="406">
        <f t="shared" si="0"/>
        <v>-3119.3724501610268</v>
      </c>
      <c r="F25" s="403">
        <f t="shared" si="1"/>
        <v>234.79557009952549</v>
      </c>
      <c r="G25" s="403">
        <f t="shared" si="1"/>
        <v>236.05751989145892</v>
      </c>
      <c r="H25" s="195">
        <f t="shared" si="1"/>
        <v>-1.2619497919334226</v>
      </c>
      <c r="I25" s="152">
        <f t="shared" si="2"/>
        <v>0.99465405807654983</v>
      </c>
    </row>
    <row r="26" spans="1:12" x14ac:dyDescent="0.2">
      <c r="A26" s="38" t="s">
        <v>373</v>
      </c>
      <c r="B26" s="405">
        <f>+FCM!B26</f>
        <v>213535.35</v>
      </c>
      <c r="C26" s="405">
        <f>+FCM!F26</f>
        <v>75503.990350598644</v>
      </c>
      <c r="D26" s="405">
        <f>+FCM!H26</f>
        <v>22835.850999999999</v>
      </c>
      <c r="E26" s="249">
        <f t="shared" ref="E26" si="3">C26-D26</f>
        <v>52668.139350598649</v>
      </c>
      <c r="F26" s="403">
        <f t="shared" ref="F26" si="4">C26/$B26*100</f>
        <v>35.359012149790956</v>
      </c>
      <c r="G26" s="403">
        <f t="shared" ref="G26" si="5">D26/$B26*100</f>
        <v>10.694178270717236</v>
      </c>
      <c r="H26" s="195">
        <f t="shared" ref="H26" si="6">E26/$B26*100</f>
        <v>24.664833879073722</v>
      </c>
      <c r="I26" s="152">
        <f t="shared" ref="I26:I28" si="7">C26/D26</f>
        <v>3.3063795323677074</v>
      </c>
    </row>
    <row r="27" spans="1:12" x14ac:dyDescent="0.2">
      <c r="A27" s="38" t="s">
        <v>244</v>
      </c>
      <c r="B27" s="405">
        <f>+FCM!B32</f>
        <v>231474.951</v>
      </c>
      <c r="C27" s="405">
        <f>+FCM!F32</f>
        <v>457821.83595170523</v>
      </c>
      <c r="D27" s="405">
        <f>+FCM!H32</f>
        <v>321531.66603888967</v>
      </c>
      <c r="E27" s="249">
        <f t="shared" si="0"/>
        <v>136290.16991281556</v>
      </c>
      <c r="F27" s="403">
        <f t="shared" si="1"/>
        <v>197.78461296734662</v>
      </c>
      <c r="G27" s="403">
        <f t="shared" si="1"/>
        <v>138.90559848909513</v>
      </c>
      <c r="H27" s="403">
        <f t="shared" si="1"/>
        <v>58.879014478251499</v>
      </c>
      <c r="I27" s="152">
        <f t="shared" si="7"/>
        <v>1.4238779078646988</v>
      </c>
    </row>
    <row r="28" spans="1:12" x14ac:dyDescent="0.2">
      <c r="A28" s="38" t="s">
        <v>245</v>
      </c>
      <c r="B28" s="405">
        <f>+FCM!B33+FCM!B34</f>
        <v>387712.26199999999</v>
      </c>
      <c r="C28" s="405">
        <f>+FCM!F33+FCM!F34</f>
        <v>281440.83799999999</v>
      </c>
      <c r="D28" s="405">
        <f>+FCM!H33+FCM!H34</f>
        <v>375955.94121100835</v>
      </c>
      <c r="E28" s="249">
        <f t="shared" si="0"/>
        <v>-94515.103211008362</v>
      </c>
      <c r="F28" s="403">
        <f t="shared" si="1"/>
        <v>72.590130770741524</v>
      </c>
      <c r="G28" s="403">
        <f t="shared" si="1"/>
        <v>96.967771736610274</v>
      </c>
      <c r="H28" s="403">
        <f t="shared" si="1"/>
        <v>-24.377640965868746</v>
      </c>
      <c r="I28" s="152">
        <f t="shared" si="7"/>
        <v>0.74860058626401393</v>
      </c>
    </row>
    <row r="29" spans="1:12" ht="15.75" x14ac:dyDescent="0.25">
      <c r="A29" s="417" t="s">
        <v>341</v>
      </c>
      <c r="B29" s="418">
        <f>SUM(B22:B28)</f>
        <v>66616453.531000003</v>
      </c>
      <c r="C29" s="418">
        <f t="shared" ref="C29:D29" si="8">SUM(C22:C28)</f>
        <v>29426204.405999999</v>
      </c>
      <c r="D29" s="418">
        <f t="shared" si="8"/>
        <v>13986169.02845075</v>
      </c>
      <c r="E29" s="419">
        <f t="shared" si="0"/>
        <v>15440035.37754925</v>
      </c>
      <c r="F29" s="420">
        <f t="shared" si="1"/>
        <v>44.172577263222969</v>
      </c>
      <c r="G29" s="420">
        <f t="shared" si="1"/>
        <v>20.995066964863685</v>
      </c>
      <c r="H29" s="420">
        <f t="shared" ref="H29" si="9">E29/$B29*100</f>
        <v>23.17751029835928</v>
      </c>
      <c r="I29" s="422">
        <f t="shared" ref="I29" si="10">C29/D29</f>
        <v>2.1039502916160271</v>
      </c>
    </row>
    <row r="30" spans="1:12" ht="15.75" x14ac:dyDescent="0.25">
      <c r="A30" s="73" t="s">
        <v>131</v>
      </c>
      <c r="B30" s="249"/>
      <c r="C30" s="249"/>
      <c r="D30" s="249"/>
      <c r="E30" s="249"/>
      <c r="F30" s="403"/>
      <c r="G30" s="403"/>
      <c r="H30" s="403"/>
      <c r="I30" s="153"/>
      <c r="L30" s="173"/>
    </row>
    <row r="31" spans="1:12" x14ac:dyDescent="0.2">
      <c r="A31" s="38" t="s">
        <v>73</v>
      </c>
      <c r="B31" s="405">
        <f>+Standard!B13</f>
        <v>5711634.5130000003</v>
      </c>
      <c r="C31" s="405">
        <f>+Standard!F13</f>
        <v>808562.96891335305</v>
      </c>
      <c r="D31" s="405">
        <f>+Standard!H13</f>
        <v>341410.95649228763</v>
      </c>
      <c r="E31" s="249">
        <f t="shared" ref="E31:E39" si="11">C31-D31</f>
        <v>467152.01242106542</v>
      </c>
      <c r="F31" s="403">
        <f t="shared" ref="F31:H37" si="12">C31/$B31*100</f>
        <v>14.156419971778977</v>
      </c>
      <c r="G31" s="403">
        <f t="shared" si="12"/>
        <v>5.9774650446420754</v>
      </c>
      <c r="H31" s="403">
        <f t="shared" si="12"/>
        <v>8.1789549271369033</v>
      </c>
      <c r="I31" s="152">
        <f t="shared" ref="I31:I37" si="13">C31/D31</f>
        <v>2.3682982444988352</v>
      </c>
      <c r="L31" s="173"/>
    </row>
    <row r="32" spans="1:12" x14ac:dyDescent="0.2">
      <c r="A32" s="38" t="s">
        <v>74</v>
      </c>
      <c r="B32" s="405">
        <f>+Standard!B14</f>
        <v>11337794.242000001</v>
      </c>
      <c r="C32" s="405">
        <f>+Standard!F14</f>
        <v>1933797.1525183679</v>
      </c>
      <c r="D32" s="405">
        <f>+Standard!H14</f>
        <v>842701.13789624779</v>
      </c>
      <c r="E32" s="249">
        <f t="shared" si="11"/>
        <v>1091096.0146221202</v>
      </c>
      <c r="F32" s="403">
        <f t="shared" si="12"/>
        <v>17.056202566763496</v>
      </c>
      <c r="G32" s="403">
        <f t="shared" si="12"/>
        <v>7.4326727043124956</v>
      </c>
      <c r="H32" s="403">
        <f t="shared" si="12"/>
        <v>9.6235298624510008</v>
      </c>
      <c r="I32" s="152">
        <f t="shared" si="13"/>
        <v>2.2947603433240578</v>
      </c>
    </row>
    <row r="33" spans="1:11" x14ac:dyDescent="0.2">
      <c r="A33" s="38" t="s">
        <v>374</v>
      </c>
      <c r="B33" s="405">
        <f>+Standard!B15</f>
        <v>974774.14099999995</v>
      </c>
      <c r="C33" s="405">
        <f>+Standard!F15</f>
        <v>138417.92800000001</v>
      </c>
      <c r="D33" s="405">
        <f>+Standard!H15</f>
        <v>38458.075127044969</v>
      </c>
      <c r="E33" s="249">
        <f t="shared" si="11"/>
        <v>99959.852872955045</v>
      </c>
      <c r="F33" s="403">
        <f t="shared" ref="F33" si="14">C33/$B33*100</f>
        <v>14.199999997743069</v>
      </c>
      <c r="G33" s="403">
        <f t="shared" ref="G33" si="15">D33/$B33*100</f>
        <v>3.9453318988942048</v>
      </c>
      <c r="H33" s="403">
        <f t="shared" ref="H33" si="16">E33/$B33*100</f>
        <v>10.254668098848864</v>
      </c>
      <c r="I33" s="152">
        <f t="shared" si="13"/>
        <v>3.5991902231908646</v>
      </c>
    </row>
    <row r="34" spans="1:11" x14ac:dyDescent="0.2">
      <c r="A34" s="38" t="s">
        <v>75</v>
      </c>
      <c r="B34" s="405">
        <f>+Standard!B16</f>
        <v>9507627.1080000009</v>
      </c>
      <c r="C34" s="405">
        <f>+Standard!F16</f>
        <v>2377901.7287627966</v>
      </c>
      <c r="D34" s="405">
        <f>+Standard!H16</f>
        <v>1778661.3116236159</v>
      </c>
      <c r="E34" s="249">
        <f t="shared" si="11"/>
        <v>599240.4171391807</v>
      </c>
      <c r="F34" s="403">
        <f t="shared" si="12"/>
        <v>25.010464774769716</v>
      </c>
      <c r="G34" s="403">
        <f t="shared" si="12"/>
        <v>18.707731081785877</v>
      </c>
      <c r="H34" s="403">
        <f t="shared" si="12"/>
        <v>6.3027336929838365</v>
      </c>
      <c r="I34" s="152">
        <f t="shared" si="13"/>
        <v>1.3369052968224602</v>
      </c>
      <c r="K34" s="173"/>
    </row>
    <row r="35" spans="1:11" x14ac:dyDescent="0.2">
      <c r="A35" s="38" t="s">
        <v>77</v>
      </c>
      <c r="B35" s="405">
        <f>+Standard!B17</f>
        <v>46754272.979000002</v>
      </c>
      <c r="C35" s="405">
        <f>+Standard!F17</f>
        <v>9298542.5150707364</v>
      </c>
      <c r="D35" s="405">
        <f>+Standard!H17</f>
        <v>4902887.4433081429</v>
      </c>
      <c r="E35" s="249">
        <f t="shared" si="11"/>
        <v>4395655.0717625935</v>
      </c>
      <c r="F35" s="403">
        <f t="shared" si="12"/>
        <v>19.888112727679967</v>
      </c>
      <c r="G35" s="403">
        <f t="shared" si="12"/>
        <v>10.486501299058395</v>
      </c>
      <c r="H35" s="403">
        <f t="shared" si="12"/>
        <v>9.4016114286215764</v>
      </c>
      <c r="I35" s="152">
        <f t="shared" si="13"/>
        <v>1.8965441533360385</v>
      </c>
    </row>
    <row r="36" spans="1:11" x14ac:dyDescent="0.2">
      <c r="A36" s="38" t="s">
        <v>71</v>
      </c>
      <c r="B36" s="405">
        <f>+Standard!B18</f>
        <v>5568019.4130000006</v>
      </c>
      <c r="C36" s="405">
        <f>+Standard!F18</f>
        <v>2138367.4168847287</v>
      </c>
      <c r="D36" s="405">
        <f>+Standard!H18</f>
        <v>2514245.8211699976</v>
      </c>
      <c r="E36" s="406">
        <f t="shared" si="11"/>
        <v>-375878.40428526886</v>
      </c>
      <c r="F36" s="403">
        <f t="shared" si="12"/>
        <v>38.404453330247904</v>
      </c>
      <c r="G36" s="403">
        <f t="shared" si="12"/>
        <v>45.155119525981391</v>
      </c>
      <c r="H36" s="195">
        <f t="shared" si="12"/>
        <v>-6.7506661957334817</v>
      </c>
      <c r="I36" s="152">
        <f t="shared" si="13"/>
        <v>0.85050053534130765</v>
      </c>
    </row>
    <row r="37" spans="1:11" x14ac:dyDescent="0.2">
      <c r="A37" s="38" t="s">
        <v>78</v>
      </c>
      <c r="B37" s="405">
        <f>+Standard!B19</f>
        <v>71966.231999999989</v>
      </c>
      <c r="C37" s="405">
        <f>+Standard!F19</f>
        <v>74428.587045487773</v>
      </c>
      <c r="D37" s="405">
        <f>+Standard!H19</f>
        <v>109644.69673193023</v>
      </c>
      <c r="E37" s="406">
        <f t="shared" si="11"/>
        <v>-35216.109686442462</v>
      </c>
      <c r="F37" s="403">
        <f t="shared" si="12"/>
        <v>103.42154226650047</v>
      </c>
      <c r="G37" s="403">
        <f t="shared" si="12"/>
        <v>152.35575586607098</v>
      </c>
      <c r="H37" s="195">
        <f t="shared" si="12"/>
        <v>-48.934213599570512</v>
      </c>
      <c r="I37" s="152">
        <f t="shared" si="13"/>
        <v>0.67881611481363158</v>
      </c>
    </row>
    <row r="38" spans="1:11" x14ac:dyDescent="0.2">
      <c r="A38" s="38" t="s">
        <v>370</v>
      </c>
      <c r="B38" s="405">
        <f>+Standard!B20</f>
        <v>1036466.001</v>
      </c>
      <c r="C38" s="405">
        <f>+Standard!F20</f>
        <v>215186.25580452933</v>
      </c>
      <c r="D38" s="405">
        <f>+Standard!H20</f>
        <v>93118.797999999995</v>
      </c>
      <c r="E38" s="249">
        <f t="shared" ref="E38" si="17">C38-D38</f>
        <v>122067.45780452933</v>
      </c>
      <c r="F38" s="403">
        <f t="shared" ref="F38" si="18">C38/$B38*100</f>
        <v>20.761535409450378</v>
      </c>
      <c r="G38" s="403">
        <f t="shared" ref="G38" si="19">D38/$B38*100</f>
        <v>8.9842597740936405</v>
      </c>
      <c r="H38" s="195">
        <f t="shared" ref="H38" si="20">E38/$B38*100</f>
        <v>11.777275635356737</v>
      </c>
      <c r="I38" s="152">
        <f t="shared" ref="I38:I39" si="21">C38/D38</f>
        <v>2.3108787959712425</v>
      </c>
    </row>
    <row r="39" spans="1:11" x14ac:dyDescent="0.2">
      <c r="A39" s="38" t="s">
        <v>275</v>
      </c>
      <c r="B39" s="405">
        <f>+Standard!B21</f>
        <v>119.383</v>
      </c>
      <c r="C39" s="405">
        <f>+Standard!F21</f>
        <v>76.849000000000004</v>
      </c>
      <c r="D39" s="411">
        <f>+Standard!H21</f>
        <v>107.51544160007887</v>
      </c>
      <c r="E39" s="249">
        <f t="shared" si="11"/>
        <v>-30.666441600078869</v>
      </c>
      <c r="F39" s="403">
        <f t="shared" ref="F39" si="22">C39/$B39*100</f>
        <v>64.371811731988643</v>
      </c>
      <c r="G39" s="403">
        <f t="shared" ref="G39" si="23">D39/$B39*100</f>
        <v>90.059256008040407</v>
      </c>
      <c r="H39" s="195">
        <f t="shared" ref="H39" si="24">E39/$B39*100</f>
        <v>-25.687444276051757</v>
      </c>
      <c r="I39" s="152">
        <f t="shared" si="21"/>
        <v>0.71477174679570521</v>
      </c>
    </row>
    <row r="40" spans="1:11" ht="15.75" x14ac:dyDescent="0.25">
      <c r="A40" s="417" t="s">
        <v>378</v>
      </c>
      <c r="B40" s="418">
        <f>SUM(B31:B39)</f>
        <v>80962674.012000009</v>
      </c>
      <c r="C40" s="418">
        <f t="shared" ref="C40:D40" si="25">SUM(C31:C39)</f>
        <v>16985281.401999995</v>
      </c>
      <c r="D40" s="418">
        <f t="shared" si="25"/>
        <v>10621235.755790869</v>
      </c>
      <c r="E40" s="419">
        <f t="shared" ref="E40" si="26">C40-D40</f>
        <v>6364045.6462091263</v>
      </c>
      <c r="F40" s="420">
        <f t="shared" ref="F40" si="27">C40/$B40*100</f>
        <v>20.979150712688288</v>
      </c>
      <c r="G40" s="420">
        <f t="shared" ref="G40" si="28">D40/$B40*100</f>
        <v>13.118682016624877</v>
      </c>
      <c r="H40" s="421">
        <f t="shared" ref="H40" si="29">E40/$B40*100</f>
        <v>7.8604686960634096</v>
      </c>
      <c r="I40" s="422">
        <f t="shared" ref="I40" si="30">C40/D40</f>
        <v>1.599181281023665</v>
      </c>
    </row>
    <row r="41" spans="1:11" ht="15.75" x14ac:dyDescent="0.25">
      <c r="A41" s="147" t="s">
        <v>184</v>
      </c>
      <c r="B41" s="249"/>
      <c r="C41" s="249"/>
      <c r="D41" s="249"/>
      <c r="E41" s="249"/>
      <c r="F41" s="403"/>
      <c r="G41" s="403"/>
      <c r="H41" s="403"/>
    </row>
    <row r="42" spans="1:11" x14ac:dyDescent="0.2">
      <c r="A42" s="130" t="s">
        <v>31</v>
      </c>
      <c r="B42" s="405">
        <f>+Periodicals!B13</f>
        <v>603253.98199999996</v>
      </c>
      <c r="C42" s="405">
        <f>+Periodicals!F13</f>
        <v>66011.336165870074</v>
      </c>
      <c r="D42" s="405">
        <f>+Periodicals!H13</f>
        <v>86970.060366374993</v>
      </c>
      <c r="E42" s="406">
        <f>C42-D42</f>
        <v>-20958.724200504919</v>
      </c>
      <c r="F42" s="403">
        <f t="shared" ref="F42:H44" si="31">C42/$B42*100</f>
        <v>10.942544622253331</v>
      </c>
      <c r="G42" s="403">
        <f t="shared" si="31"/>
        <v>14.416823255445166</v>
      </c>
      <c r="H42" s="195">
        <f t="shared" si="31"/>
        <v>-3.4742786331918349</v>
      </c>
      <c r="I42" s="152">
        <f>C42/D42</f>
        <v>0.75901219210136206</v>
      </c>
    </row>
    <row r="43" spans="1:11" x14ac:dyDescent="0.2">
      <c r="A43" s="130" t="s">
        <v>35</v>
      </c>
      <c r="B43" s="405">
        <f>+Periodicals!B14</f>
        <v>5755719.4840000002</v>
      </c>
      <c r="C43" s="405">
        <f>+Periodicals!F14</f>
        <v>1592152.5428341299</v>
      </c>
      <c r="D43" s="405">
        <f>+Periodicals!H14</f>
        <v>2092052.2985848663</v>
      </c>
      <c r="E43" s="406">
        <f>C43-D43</f>
        <v>-499899.75575073645</v>
      </c>
      <c r="F43" s="403">
        <f t="shared" si="31"/>
        <v>27.662094152782547</v>
      </c>
      <c r="G43" s="403">
        <f t="shared" si="31"/>
        <v>36.347363772686357</v>
      </c>
      <c r="H43" s="195">
        <f t="shared" si="31"/>
        <v>-8.6852696199038117</v>
      </c>
      <c r="I43" s="152">
        <f>C43/D43</f>
        <v>0.76104815539798631</v>
      </c>
    </row>
    <row r="44" spans="1:11" ht="15.75" x14ac:dyDescent="0.25">
      <c r="A44" s="417" t="s">
        <v>391</v>
      </c>
      <c r="B44" s="418">
        <f>SUM(B42:B43)</f>
        <v>6358973.466</v>
      </c>
      <c r="C44" s="418">
        <f t="shared" ref="C44:D44" si="32">SUM(C42:C43)</f>
        <v>1658163.879</v>
      </c>
      <c r="D44" s="418">
        <f t="shared" si="32"/>
        <v>2179022.3589512412</v>
      </c>
      <c r="E44" s="423">
        <f>C44-D44</f>
        <v>-520858.47995124129</v>
      </c>
      <c r="F44" s="420">
        <f t="shared" si="31"/>
        <v>26.075967887990554</v>
      </c>
      <c r="G44" s="420">
        <f t="shared" si="31"/>
        <v>34.26688868261494</v>
      </c>
      <c r="H44" s="421">
        <f t="shared" si="31"/>
        <v>-8.1909207946243896</v>
      </c>
      <c r="I44" s="422">
        <f>C44/D44</f>
        <v>0.76096689517131466</v>
      </c>
    </row>
    <row r="45" spans="1:11" ht="15.75" x14ac:dyDescent="0.25">
      <c r="A45" s="147" t="s">
        <v>190</v>
      </c>
      <c r="B45" s="249"/>
      <c r="C45" s="249"/>
      <c r="D45" s="249"/>
      <c r="E45" s="249"/>
      <c r="F45" s="403"/>
      <c r="G45" s="403"/>
      <c r="H45" s="403"/>
      <c r="I45" s="81"/>
    </row>
    <row r="46" spans="1:11" x14ac:dyDescent="0.2">
      <c r="A46" s="130" t="s">
        <v>359</v>
      </c>
      <c r="B46" s="249">
        <f>+'Package Services'!B12</f>
        <v>1294.607</v>
      </c>
      <c r="C46" s="249">
        <f>+'Package Services'!F12</f>
        <v>31538.524000000001</v>
      </c>
      <c r="D46" s="249">
        <f>+'Package Services'!H12</f>
        <v>10303.520161208</v>
      </c>
      <c r="E46" s="195">
        <f>C46-D46</f>
        <v>21235.003838791999</v>
      </c>
      <c r="F46" s="195">
        <f t="shared" ref="F46" si="33">C46/$B46*100</f>
        <v>2436.1465680318433</v>
      </c>
      <c r="G46" s="195">
        <f t="shared" ref="G46" si="34">D46/$B46*100</f>
        <v>795.88015213945232</v>
      </c>
      <c r="H46" s="195">
        <f t="shared" ref="H46" si="35">E46/$B46*100</f>
        <v>1640.2664158923906</v>
      </c>
      <c r="I46" s="152">
        <f t="shared" ref="I46:I53" si="36">C46/D46</f>
        <v>3.0609465024138292</v>
      </c>
    </row>
    <row r="47" spans="1:11" x14ac:dyDescent="0.2">
      <c r="A47" s="130" t="s">
        <v>80</v>
      </c>
      <c r="B47" s="405">
        <f>+'Package Services'!B13</f>
        <v>28259.692999999999</v>
      </c>
      <c r="C47" s="405">
        <f>+'Package Services'!F13</f>
        <v>307795.46100277069</v>
      </c>
      <c r="D47" s="405">
        <f>+'Package Services'!H13</f>
        <v>330644.26006378152</v>
      </c>
      <c r="E47" s="195">
        <f t="shared" ref="E47:E53" si="37">C47-D47</f>
        <v>-22848.799061010825</v>
      </c>
      <c r="F47" s="195">
        <f t="shared" ref="F47:H52" si="38">C47/$B47*100</f>
        <v>1089.1677450380325</v>
      </c>
      <c r="G47" s="195">
        <f t="shared" si="38"/>
        <v>1170.0207078108792</v>
      </c>
      <c r="H47" s="195">
        <f t="shared" si="38"/>
        <v>-80.852962772846908</v>
      </c>
      <c r="I47" s="152">
        <f t="shared" si="36"/>
        <v>0.93089612668127586</v>
      </c>
    </row>
    <row r="48" spans="1:11" x14ac:dyDescent="0.2">
      <c r="A48" s="38" t="s">
        <v>39</v>
      </c>
      <c r="B48" s="405">
        <f>+'Package Services'!B19</f>
        <v>905.94899999999996</v>
      </c>
      <c r="C48" s="405">
        <f>+'Package Services'!F19</f>
        <v>17933.103999999999</v>
      </c>
      <c r="D48" s="405">
        <f>+'Package Services'!H19</f>
        <v>10756.145909557197</v>
      </c>
      <c r="E48" s="195">
        <f t="shared" si="37"/>
        <v>7176.9580904428021</v>
      </c>
      <c r="F48" s="195">
        <f t="shared" si="38"/>
        <v>1979.4827302640656</v>
      </c>
      <c r="G48" s="195">
        <f t="shared" si="38"/>
        <v>1187.2794064077777</v>
      </c>
      <c r="H48" s="195">
        <f t="shared" si="38"/>
        <v>792.20332385628797</v>
      </c>
      <c r="I48" s="152">
        <f t="shared" si="36"/>
        <v>1.6672425375027531</v>
      </c>
    </row>
    <row r="49" spans="1:11" x14ac:dyDescent="0.2">
      <c r="A49" s="38" t="s">
        <v>81</v>
      </c>
      <c r="B49" s="405">
        <f>+'Package Services'!B14</f>
        <v>229611.08100000001</v>
      </c>
      <c r="C49" s="405">
        <f>+'Package Services'!F14</f>
        <v>186070.82621421828</v>
      </c>
      <c r="D49" s="405">
        <f>+'Package Services'!H14</f>
        <v>130417.99661986517</v>
      </c>
      <c r="E49" s="195">
        <f t="shared" si="37"/>
        <v>55652.829594353112</v>
      </c>
      <c r="F49" s="195">
        <f t="shared" si="38"/>
        <v>81.037389573640951</v>
      </c>
      <c r="G49" s="195">
        <f t="shared" si="38"/>
        <v>56.799522066561394</v>
      </c>
      <c r="H49" s="195">
        <f t="shared" si="38"/>
        <v>24.237867507079553</v>
      </c>
      <c r="I49" s="152">
        <f t="shared" si="36"/>
        <v>1.4267266101055573</v>
      </c>
    </row>
    <row r="50" spans="1:11" x14ac:dyDescent="0.2">
      <c r="A50" s="38" t="s">
        <v>82</v>
      </c>
      <c r="B50" s="405">
        <f>+'Package Services'!B15</f>
        <v>216386.45499999999</v>
      </c>
      <c r="C50" s="405">
        <f>+'Package Services'!F15</f>
        <v>275831.25599021517</v>
      </c>
      <c r="D50" s="405">
        <f>+'Package Services'!H15</f>
        <v>263130.09077894309</v>
      </c>
      <c r="E50" s="195">
        <f t="shared" si="37"/>
        <v>12701.165211272077</v>
      </c>
      <c r="F50" s="195">
        <f t="shared" si="38"/>
        <v>127.47159058094242</v>
      </c>
      <c r="G50" s="195">
        <f t="shared" si="38"/>
        <v>121.60192317903775</v>
      </c>
      <c r="H50" s="195">
        <f t="shared" si="38"/>
        <v>5.8696674019046515</v>
      </c>
      <c r="I50" s="152">
        <f t="shared" si="36"/>
        <v>1.0482695277217169</v>
      </c>
    </row>
    <row r="51" spans="1:11" x14ac:dyDescent="0.2">
      <c r="A51" s="38" t="s">
        <v>38</v>
      </c>
      <c r="B51" s="405">
        <f>+'Package Services'!B16</f>
        <v>94523.857000000004</v>
      </c>
      <c r="C51" s="405">
        <f>+'Package Services'!F16</f>
        <v>316574.60979279596</v>
      </c>
      <c r="D51" s="405">
        <f>+'Package Services'!H16</f>
        <v>372401.92408877786</v>
      </c>
      <c r="E51" s="195">
        <f t="shared" si="37"/>
        <v>-55827.314295981894</v>
      </c>
      <c r="F51" s="195">
        <f t="shared" si="38"/>
        <v>334.91503609802544</v>
      </c>
      <c r="G51" s="195">
        <f t="shared" si="38"/>
        <v>393.97664876156909</v>
      </c>
      <c r="H51" s="195">
        <f t="shared" si="38"/>
        <v>-59.061612663543649</v>
      </c>
      <c r="I51" s="152">
        <f t="shared" si="36"/>
        <v>0.85008854497037167</v>
      </c>
    </row>
    <row r="52" spans="1:11" x14ac:dyDescent="0.2">
      <c r="A52" s="38" t="s">
        <v>275</v>
      </c>
      <c r="B52" s="416">
        <f>+'Package Services'!B20</f>
        <v>0.97099999999999997</v>
      </c>
      <c r="C52" s="416">
        <f>+'Package Services'!F20</f>
        <v>2.1669999999999998</v>
      </c>
      <c r="D52" s="416">
        <f>+'Package Services'!H20</f>
        <v>0.87447537583807233</v>
      </c>
      <c r="E52" s="195">
        <f t="shared" si="37"/>
        <v>1.2925246241619275</v>
      </c>
      <c r="F52" s="195">
        <f t="shared" ref="F52:F53" si="39">C52/$B52*100</f>
        <v>223.17198764160659</v>
      </c>
      <c r="G52" s="195">
        <f t="shared" si="38"/>
        <v>90.059256008040407</v>
      </c>
      <c r="H52" s="195">
        <f t="shared" ref="H52:H53" si="40">E52/$B52*100</f>
        <v>133.11273163356617</v>
      </c>
      <c r="I52" s="152">
        <f t="shared" si="36"/>
        <v>2.4780571984925346</v>
      </c>
    </row>
    <row r="53" spans="1:11" ht="15.75" x14ac:dyDescent="0.25">
      <c r="A53" s="417" t="s">
        <v>379</v>
      </c>
      <c r="B53" s="418">
        <f>SUM(B46:B52)</f>
        <v>570982.61300000001</v>
      </c>
      <c r="C53" s="418">
        <f>SUM(C46:C52)</f>
        <v>1135745.9479999999</v>
      </c>
      <c r="D53" s="418">
        <f>SUM(D46:D52)</f>
        <v>1117654.8120975085</v>
      </c>
      <c r="E53" s="423">
        <f t="shared" si="37"/>
        <v>18091.135902491398</v>
      </c>
      <c r="F53" s="420">
        <f t="shared" si="39"/>
        <v>198.91077629013546</v>
      </c>
      <c r="G53" s="420">
        <f t="shared" ref="G53" si="41">D53/$B53*100</f>
        <v>195.74235478471712</v>
      </c>
      <c r="H53" s="421">
        <f t="shared" si="40"/>
        <v>3.1684215054183089</v>
      </c>
      <c r="I53" s="422">
        <f t="shared" si="36"/>
        <v>1.0161866935181352</v>
      </c>
    </row>
    <row r="54" spans="1:11" x14ac:dyDescent="0.2">
      <c r="A54" s="63" t="s">
        <v>42</v>
      </c>
      <c r="B54" s="405">
        <f>+'USPS &amp; Free'!B12</f>
        <v>630936.79200000002</v>
      </c>
      <c r="C54" s="405">
        <f>+'USPS &amp; Free'!F12</f>
        <v>0</v>
      </c>
      <c r="D54" s="405">
        <f>+'USPS &amp; Free'!H12</f>
        <v>0</v>
      </c>
      <c r="E54" s="249">
        <f>C54-D54</f>
        <v>0</v>
      </c>
      <c r="F54" s="403">
        <v>0</v>
      </c>
      <c r="G54" s="403">
        <v>0</v>
      </c>
      <c r="H54" s="403">
        <v>0</v>
      </c>
      <c r="I54" s="403">
        <v>0</v>
      </c>
      <c r="J54" s="173"/>
      <c r="K54" s="173"/>
    </row>
    <row r="55" spans="1:11" x14ac:dyDescent="0.2">
      <c r="A55" s="63" t="s">
        <v>43</v>
      </c>
      <c r="B55" s="405">
        <f>+'USPS &amp; Free'!B14</f>
        <v>54577.309000000001</v>
      </c>
      <c r="C55" s="405">
        <f>+'USPS &amp; Free'!F14</f>
        <v>0</v>
      </c>
      <c r="D55" s="405">
        <f>+'USPS &amp; Free'!H14</f>
        <v>38462.434991520808</v>
      </c>
      <c r="E55" s="173">
        <f>C55-D55</f>
        <v>-38462.434991520808</v>
      </c>
      <c r="F55" s="403">
        <v>0</v>
      </c>
      <c r="G55" s="403">
        <f>D55/$B55*100</f>
        <v>70.473307856788622</v>
      </c>
      <c r="H55" s="403">
        <v>0</v>
      </c>
      <c r="I55" s="403">
        <v>0</v>
      </c>
    </row>
    <row r="56" spans="1:11" ht="15.75" x14ac:dyDescent="0.25">
      <c r="A56" s="417" t="s">
        <v>380</v>
      </c>
      <c r="B56" s="418">
        <f>SUM(B54:B55)</f>
        <v>685514.10100000002</v>
      </c>
      <c r="C56" s="418">
        <f>SUM(C54:C55)</f>
        <v>0</v>
      </c>
      <c r="D56" s="418">
        <f>SUM(D54:D55)</f>
        <v>38462.434991520808</v>
      </c>
      <c r="E56" s="423">
        <f>C56-D56</f>
        <v>-38462.434991520808</v>
      </c>
      <c r="F56" s="420">
        <v>0</v>
      </c>
      <c r="G56" s="420">
        <f>D56/$B56*100</f>
        <v>5.6107430810560102</v>
      </c>
      <c r="H56" s="420">
        <v>0</v>
      </c>
      <c r="I56" s="420">
        <v>0</v>
      </c>
    </row>
    <row r="57" spans="1:11" ht="15.75" x14ac:dyDescent="0.25">
      <c r="A57" s="27" t="s">
        <v>44</v>
      </c>
      <c r="B57" s="404">
        <f>+B29+B40+B44+B53+B56</f>
        <v>155194597.72300002</v>
      </c>
      <c r="C57" s="404">
        <f>+C29+C40+C44+C53+C56</f>
        <v>49205395.634999998</v>
      </c>
      <c r="D57" s="404">
        <f>+D29+D40+D44+D53+D56</f>
        <v>27942544.390281886</v>
      </c>
      <c r="E57" s="404">
        <f>+E29+E40+E44+E53+E56</f>
        <v>21262851.244718105</v>
      </c>
      <c r="F57" s="412">
        <f>C57/$B57*100</f>
        <v>31.705611121093618</v>
      </c>
      <c r="G57" s="412">
        <f>D57/$B57*100</f>
        <v>18.004843467654265</v>
      </c>
      <c r="H57" s="412">
        <f>E57/$B57*100</f>
        <v>13.700767653439346</v>
      </c>
      <c r="I57" s="155">
        <f>C57/D57</f>
        <v>1.7609490011980835</v>
      </c>
    </row>
    <row r="58" spans="1:11" ht="15.75" x14ac:dyDescent="0.25">
      <c r="A58" s="73" t="s">
        <v>254</v>
      </c>
      <c r="B58" s="249"/>
      <c r="C58" s="249"/>
      <c r="D58" s="249"/>
      <c r="E58" s="249"/>
      <c r="F58" s="403"/>
      <c r="G58" s="403"/>
      <c r="H58" s="403"/>
    </row>
    <row r="59" spans="1:11" ht="15.75" x14ac:dyDescent="0.25">
      <c r="A59" s="91" t="s">
        <v>230</v>
      </c>
      <c r="B59" s="316"/>
      <c r="C59" s="316"/>
      <c r="D59" s="316"/>
      <c r="E59" s="316"/>
      <c r="F59" s="413"/>
      <c r="G59" s="413"/>
      <c r="H59" s="413"/>
      <c r="I59" s="124"/>
    </row>
    <row r="60" spans="1:11" x14ac:dyDescent="0.2">
      <c r="A60" s="88" t="s">
        <v>46</v>
      </c>
      <c r="B60" s="410">
        <f>+'MD Services'!B12</f>
        <v>233944.69399999999</v>
      </c>
      <c r="C60" s="316">
        <f>+'MD Services'!F12</f>
        <v>714989.48899999994</v>
      </c>
      <c r="D60" s="316">
        <f>+'MD Services'!H12</f>
        <v>535194.07839535491</v>
      </c>
      <c r="E60" s="316">
        <f t="shared" ref="E60:E71" si="42">C60-D60</f>
        <v>179795.41060464503</v>
      </c>
      <c r="F60" s="253">
        <f t="shared" ref="F60" si="43">C60/$B60*100</f>
        <v>305.62329787227401</v>
      </c>
      <c r="G60" s="253">
        <f t="shared" ref="G60" si="44">D60/$B60*100</f>
        <v>228.76948788389916</v>
      </c>
      <c r="H60" s="253">
        <f t="shared" ref="H60" si="45">E60/$B60*100</f>
        <v>76.853809988374877</v>
      </c>
      <c r="I60" s="197">
        <f t="shared" ref="I60:I72" si="46">C60/D60</f>
        <v>1.3359443197572671</v>
      </c>
    </row>
    <row r="61" spans="1:11" x14ac:dyDescent="0.2">
      <c r="A61" s="88" t="s">
        <v>47</v>
      </c>
      <c r="B61" s="410">
        <f>+'MD Services'!B13</f>
        <v>486.41199999999998</v>
      </c>
      <c r="C61" s="316">
        <f>+'MD Services'!F13</f>
        <v>4431.6480000000001</v>
      </c>
      <c r="D61" s="316">
        <f>+'MD Services'!H13</f>
        <v>3700.9091975523306</v>
      </c>
      <c r="E61" s="316">
        <f t="shared" si="42"/>
        <v>730.73880244766951</v>
      </c>
      <c r="F61" s="253">
        <f t="shared" ref="F61:F71" si="47">C61/$B61*100</f>
        <v>911.0893645715978</v>
      </c>
      <c r="G61" s="253">
        <f t="shared" ref="G61:G71" si="48">D61/$B61*100</f>
        <v>760.85894212156177</v>
      </c>
      <c r="H61" s="253">
        <f t="shared" ref="H61:H71" si="49">E61/$B61*100</f>
        <v>150.23042245003609</v>
      </c>
      <c r="I61" s="197">
        <f t="shared" si="46"/>
        <v>1.1974484548096878</v>
      </c>
    </row>
    <row r="62" spans="1:11" x14ac:dyDescent="0.2">
      <c r="A62" s="88" t="s">
        <v>48</v>
      </c>
      <c r="B62" s="410">
        <f>+'MD Services'!B14</f>
        <v>28079.599999999999</v>
      </c>
      <c r="C62" s="316">
        <f>+'MD Services'!F14</f>
        <v>108436.587</v>
      </c>
      <c r="D62" s="316">
        <f>+'MD Services'!H14</f>
        <v>75780.379868900272</v>
      </c>
      <c r="E62" s="316">
        <f t="shared" si="42"/>
        <v>32656.207131099727</v>
      </c>
      <c r="F62" s="253">
        <f t="shared" si="47"/>
        <v>386.17568270203282</v>
      </c>
      <c r="G62" s="253">
        <f t="shared" si="48"/>
        <v>269.8769920828654</v>
      </c>
      <c r="H62" s="253">
        <f t="shared" si="49"/>
        <v>116.2986906191674</v>
      </c>
      <c r="I62" s="197">
        <f t="shared" si="46"/>
        <v>1.4309322173839036</v>
      </c>
    </row>
    <row r="63" spans="1:11" x14ac:dyDescent="0.2">
      <c r="A63" s="88" t="s">
        <v>49</v>
      </c>
      <c r="B63" s="410">
        <f>+'MD Services'!B15</f>
        <v>2238.4830000000002</v>
      </c>
      <c r="C63" s="316">
        <f>+'MD Services'!F15</f>
        <v>35464.857000000004</v>
      </c>
      <c r="D63" s="316">
        <f>+'MD Services'!H15</f>
        <v>27982.15417171588</v>
      </c>
      <c r="E63" s="316">
        <f t="shared" si="42"/>
        <v>7482.7028282841238</v>
      </c>
      <c r="F63" s="253">
        <f t="shared" si="47"/>
        <v>1584.325500796745</v>
      </c>
      <c r="G63" s="253">
        <f t="shared" si="48"/>
        <v>1250.0498851997481</v>
      </c>
      <c r="H63" s="253">
        <f t="shared" si="49"/>
        <v>334.27561559699683</v>
      </c>
      <c r="I63" s="197">
        <f t="shared" si="46"/>
        <v>1.2674098206437436</v>
      </c>
    </row>
    <row r="64" spans="1:11" x14ac:dyDescent="0.2">
      <c r="A64" s="88" t="s">
        <v>50</v>
      </c>
      <c r="B64" s="410">
        <f>+'MD Services'!B16</f>
        <v>0</v>
      </c>
      <c r="C64" s="316">
        <f>+'MD Services'!F16</f>
        <v>10909.6</v>
      </c>
      <c r="D64" s="316">
        <f>+'MD Services'!H16</f>
        <v>6476.2298819551252</v>
      </c>
      <c r="E64" s="316">
        <f t="shared" si="42"/>
        <v>4433.3701180448752</v>
      </c>
      <c r="F64" s="253">
        <v>0</v>
      </c>
      <c r="G64" s="253">
        <v>0</v>
      </c>
      <c r="H64" s="253">
        <v>0</v>
      </c>
      <c r="I64" s="197">
        <f t="shared" si="46"/>
        <v>1.684560338167995</v>
      </c>
    </row>
    <row r="65" spans="1:10" x14ac:dyDescent="0.2">
      <c r="A65" s="88" t="s">
        <v>51</v>
      </c>
      <c r="B65" s="410">
        <f>+'MD Services'!B17</f>
        <v>34647.199999999997</v>
      </c>
      <c r="C65" s="316">
        <f>+'MD Services'!F17</f>
        <v>1385.8879999999999</v>
      </c>
      <c r="D65" s="316">
        <f>+'MD Services'!H17</f>
        <v>451.44672839692521</v>
      </c>
      <c r="E65" s="316">
        <f>C65-D65</f>
        <v>934.44127160307471</v>
      </c>
      <c r="F65" s="253">
        <f t="shared" si="47"/>
        <v>4</v>
      </c>
      <c r="G65" s="253">
        <f t="shared" si="48"/>
        <v>1.3029818524929151</v>
      </c>
      <c r="H65" s="253">
        <f t="shared" si="49"/>
        <v>2.6970181475070851</v>
      </c>
      <c r="I65" s="197">
        <f t="shared" si="46"/>
        <v>3.0698815891771987</v>
      </c>
    </row>
    <row r="66" spans="1:10" x14ac:dyDescent="0.2">
      <c r="A66" s="88" t="s">
        <v>52</v>
      </c>
      <c r="B66" s="410">
        <f>+'MD Services'!B19</f>
        <v>2545871.8159999996</v>
      </c>
      <c r="C66" s="316">
        <f>+'MD Services'!F19</f>
        <v>514790.31000000006</v>
      </c>
      <c r="D66" s="316">
        <f>+'MD Services'!H19</f>
        <v>242626.34501880506</v>
      </c>
      <c r="E66" s="316">
        <f t="shared" si="42"/>
        <v>272163.96498119499</v>
      </c>
      <c r="F66" s="253">
        <f t="shared" si="47"/>
        <v>20.220590320561531</v>
      </c>
      <c r="G66" s="253">
        <f t="shared" si="48"/>
        <v>9.5301870068231711</v>
      </c>
      <c r="H66" s="253">
        <f t="shared" si="49"/>
        <v>10.690403313738363</v>
      </c>
      <c r="I66" s="197">
        <f t="shared" si="46"/>
        <v>2.1217411899771252</v>
      </c>
    </row>
    <row r="67" spans="1:10" x14ac:dyDescent="0.2">
      <c r="A67" s="94" t="s">
        <v>54</v>
      </c>
      <c r="B67" s="410">
        <f>+'MD Services'!B22</f>
        <v>102506.936</v>
      </c>
      <c r="C67" s="316">
        <f>+'MD Services'!F22</f>
        <v>154964.98800000001</v>
      </c>
      <c r="D67" s="316">
        <f>+'MD Services'!H22</f>
        <v>103265.92705096357</v>
      </c>
      <c r="E67" s="316">
        <f t="shared" si="42"/>
        <v>51699.060949036444</v>
      </c>
      <c r="F67" s="253">
        <f t="shared" si="47"/>
        <v>151.1751243837783</v>
      </c>
      <c r="G67" s="253">
        <f t="shared" si="48"/>
        <v>100.74042897054652</v>
      </c>
      <c r="H67" s="253">
        <f t="shared" si="49"/>
        <v>50.434695413231786</v>
      </c>
      <c r="I67" s="197">
        <f t="shared" si="46"/>
        <v>1.5006400700157569</v>
      </c>
    </row>
    <row r="68" spans="1:10" x14ac:dyDescent="0.2">
      <c r="A68" s="94" t="s">
        <v>55</v>
      </c>
      <c r="B68" s="410">
        <f>+'MD Services'!B23</f>
        <v>0</v>
      </c>
      <c r="C68" s="316">
        <f>+'MD Services'!F23</f>
        <v>358500.07900000003</v>
      </c>
      <c r="D68" s="316">
        <f>+'MD Services'!H23</f>
        <v>293935.55257923214</v>
      </c>
      <c r="E68" s="316">
        <f t="shared" si="42"/>
        <v>64564.526420767885</v>
      </c>
      <c r="F68" s="253">
        <v>0</v>
      </c>
      <c r="G68" s="253">
        <v>0</v>
      </c>
      <c r="H68" s="253">
        <v>0</v>
      </c>
      <c r="I68" s="197">
        <f t="shared" si="46"/>
        <v>1.2196553831417318</v>
      </c>
    </row>
    <row r="69" spans="1:10" x14ac:dyDescent="0.2">
      <c r="A69" s="94" t="s">
        <v>266</v>
      </c>
      <c r="B69" s="410">
        <f>+'MD Services'!B24</f>
        <v>0</v>
      </c>
      <c r="C69" s="316">
        <f>+'MD Services'!F24</f>
        <v>93592.925000000003</v>
      </c>
      <c r="D69" s="316">
        <f>+'MD Services'!H24</f>
        <v>22755.288870275508</v>
      </c>
      <c r="E69" s="316">
        <f t="shared" si="42"/>
        <v>70837.636129724502</v>
      </c>
      <c r="F69" s="253">
        <v>0</v>
      </c>
      <c r="G69" s="253">
        <v>0</v>
      </c>
      <c r="H69" s="253">
        <v>0</v>
      </c>
      <c r="I69" s="197">
        <f t="shared" si="46"/>
        <v>4.1130185397144041</v>
      </c>
    </row>
    <row r="70" spans="1:10" x14ac:dyDescent="0.2">
      <c r="A70" s="94" t="s">
        <v>57</v>
      </c>
      <c r="B70" s="410">
        <f>+'MD Services'!B25+'MD Services'!B26</f>
        <v>1969.5419999999999</v>
      </c>
      <c r="C70" s="316">
        <f>+'MD Services'!F25+'MD Services'!F26</f>
        <v>16442.686999999998</v>
      </c>
      <c r="D70" s="316">
        <f>+'MD Services'!H25+'MD Services'!H26+'MD Services'!H27+'MD Services'!H28+'MD Services'!H29</f>
        <v>15416.797062599813</v>
      </c>
      <c r="E70" s="316">
        <f t="shared" si="42"/>
        <v>1025.8899374001849</v>
      </c>
      <c r="F70" s="253">
        <f t="shared" si="47"/>
        <v>834.84825406109644</v>
      </c>
      <c r="G70" s="253">
        <f t="shared" si="48"/>
        <v>782.76051298219659</v>
      </c>
      <c r="H70" s="253">
        <f t="shared" si="49"/>
        <v>52.087741078899811</v>
      </c>
      <c r="I70" s="197">
        <f t="shared" si="46"/>
        <v>1.066543649321877</v>
      </c>
    </row>
    <row r="71" spans="1:10" x14ac:dyDescent="0.2">
      <c r="A71" s="94" t="s">
        <v>56</v>
      </c>
      <c r="B71" s="410">
        <f>+'MD Services'!B38</f>
        <v>23192.977999999999</v>
      </c>
      <c r="C71" s="316">
        <f>+'MD Services'!F38</f>
        <v>35567.052000000003</v>
      </c>
      <c r="D71" s="316">
        <f>+'MD Services'!H38</f>
        <v>18374.567449062633</v>
      </c>
      <c r="E71" s="316">
        <f t="shared" si="42"/>
        <v>17192.48455093737</v>
      </c>
      <c r="F71" s="253">
        <f t="shared" si="47"/>
        <v>153.35267424476498</v>
      </c>
      <c r="G71" s="253">
        <f t="shared" si="48"/>
        <v>79.224700894652827</v>
      </c>
      <c r="H71" s="253">
        <f t="shared" si="49"/>
        <v>74.127973350112129</v>
      </c>
      <c r="I71" s="197">
        <f t="shared" si="46"/>
        <v>1.9356674435247418</v>
      </c>
      <c r="J71" s="124"/>
    </row>
    <row r="72" spans="1:10" ht="15.75" x14ac:dyDescent="0.25">
      <c r="A72" s="91" t="s">
        <v>254</v>
      </c>
      <c r="B72" s="408"/>
      <c r="C72" s="409">
        <f>SUM(C60:C71)</f>
        <v>2049476.1099999999</v>
      </c>
      <c r="D72" s="409">
        <f t="shared" ref="D72:E72" si="50">SUM(D60:D71)</f>
        <v>1345959.6762748139</v>
      </c>
      <c r="E72" s="409">
        <f t="shared" si="50"/>
        <v>703516.43372518593</v>
      </c>
      <c r="F72" s="253">
        <v>0</v>
      </c>
      <c r="G72" s="253">
        <v>0</v>
      </c>
      <c r="H72" s="253">
        <v>0</v>
      </c>
      <c r="I72" s="197">
        <f t="shared" si="46"/>
        <v>1.5226876006213608</v>
      </c>
      <c r="J72" s="124"/>
    </row>
    <row r="73" spans="1:10" ht="15.75" x14ac:dyDescent="0.25">
      <c r="A73" s="417" t="s">
        <v>247</v>
      </c>
      <c r="B73" s="418">
        <f>+B72+B57</f>
        <v>155194597.72300002</v>
      </c>
      <c r="C73" s="418">
        <f>+C72+C57</f>
        <v>51254871.744999997</v>
      </c>
      <c r="D73" s="418">
        <f t="shared" ref="D73:E73" si="51">+D72+D57</f>
        <v>29288504.0665567</v>
      </c>
      <c r="E73" s="423">
        <f t="shared" si="51"/>
        <v>21966367.67844329</v>
      </c>
      <c r="F73" s="420">
        <f t="shared" ref="F73" si="52">C73/$B73*100</f>
        <v>33.026195819317472</v>
      </c>
      <c r="G73" s="420">
        <f t="shared" ref="G73" si="53">D73/$B73*100</f>
        <v>18.872115715543433</v>
      </c>
      <c r="H73" s="421">
        <f t="shared" ref="H73" si="54">E73/$B73*100</f>
        <v>14.15408010377403</v>
      </c>
      <c r="I73" s="422">
        <f t="shared" ref="I73" si="55">C73/D73</f>
        <v>1.7499996458858327</v>
      </c>
      <c r="J73" s="124"/>
    </row>
    <row r="74" spans="1:10" ht="15.75" thickBot="1" x14ac:dyDescent="0.25">
      <c r="A74" s="454" t="s">
        <v>389</v>
      </c>
      <c r="B74" s="455"/>
      <c r="C74" s="454"/>
      <c r="D74" s="456">
        <f>+'[1]FY2013 Intl Mail OB&amp;IB'!$Q$85</f>
        <v>59863.012640000001</v>
      </c>
      <c r="E74" s="455"/>
      <c r="F74" s="455"/>
      <c r="G74" s="455"/>
      <c r="H74" s="455"/>
      <c r="I74" s="454"/>
      <c r="J74" s="124"/>
    </row>
    <row r="75" spans="1:10" ht="16.5" thickTop="1" x14ac:dyDescent="0.25">
      <c r="A75" s="97" t="s">
        <v>59</v>
      </c>
      <c r="B75" s="409">
        <f>B19+B57</f>
        <v>158302445.35900003</v>
      </c>
      <c r="C75" s="409">
        <f>+C73+C19</f>
        <v>64995592.405999996</v>
      </c>
      <c r="D75" s="409">
        <f>+D72+D57+D19+D74</f>
        <v>39229419.942112826</v>
      </c>
      <c r="E75" s="409">
        <f>+E72+E57+E19</f>
        <v>25826035.476527162</v>
      </c>
      <c r="F75" s="414">
        <f>C75/$B75*100</f>
        <v>41.057857481987895</v>
      </c>
      <c r="G75" s="414">
        <f>D75/$B75*100</f>
        <v>24.781310139049285</v>
      </c>
      <c r="H75" s="414">
        <f>E75/$B75*100</f>
        <v>16.314362938587966</v>
      </c>
      <c r="I75" s="190">
        <f>C75/D75</f>
        <v>1.6568073782867014</v>
      </c>
      <c r="J75" s="124"/>
    </row>
    <row r="76" spans="1:10" ht="15.75" x14ac:dyDescent="0.25">
      <c r="A76" s="97"/>
      <c r="B76" s="409"/>
      <c r="C76" s="409"/>
      <c r="D76" s="409"/>
      <c r="E76" s="409"/>
      <c r="F76" s="414"/>
      <c r="G76" s="414"/>
      <c r="H76" s="414"/>
      <c r="I76" s="190"/>
      <c r="J76" s="124"/>
    </row>
    <row r="77" spans="1:10" ht="15.75" x14ac:dyDescent="0.25">
      <c r="A77" s="124" t="s">
        <v>60</v>
      </c>
      <c r="B77" s="316"/>
      <c r="C77" s="316"/>
      <c r="D77" s="438">
        <f>+[2]Summary!$I$24/1000-D75</f>
        <v>33089437.641237162</v>
      </c>
      <c r="E77" s="409"/>
      <c r="F77" s="414"/>
      <c r="G77" s="414"/>
      <c r="H77" s="414"/>
      <c r="I77" s="190"/>
      <c r="J77" s="124"/>
    </row>
    <row r="78" spans="1:10" x14ac:dyDescent="0.2">
      <c r="A78" s="208" t="s">
        <v>61</v>
      </c>
      <c r="B78" s="316"/>
      <c r="C78" s="316">
        <f>+'[3]PRC RPW'!$B$134</f>
        <v>41205</v>
      </c>
      <c r="D78" s="407"/>
      <c r="E78" s="255"/>
      <c r="F78" s="316"/>
      <c r="G78" s="316"/>
      <c r="H78" s="316"/>
      <c r="I78" s="124"/>
      <c r="J78" s="124"/>
    </row>
    <row r="79" spans="1:10" x14ac:dyDescent="0.2">
      <c r="A79" s="208" t="s">
        <v>62</v>
      </c>
      <c r="B79" s="316"/>
      <c r="C79" s="316">
        <f>+'[3]PRC RPW'!$B$135</f>
        <v>24147.281999999999</v>
      </c>
      <c r="D79" s="407"/>
      <c r="H79" s="316"/>
      <c r="I79" s="124"/>
      <c r="J79" s="124"/>
    </row>
    <row r="80" spans="1:10" x14ac:dyDescent="0.2">
      <c r="A80" s="208" t="s">
        <v>388</v>
      </c>
      <c r="B80" s="316"/>
      <c r="C80" s="316">
        <f>+'[3]PRC RPW'!$B$287</f>
        <v>1315689.061</v>
      </c>
      <c r="D80" s="407"/>
      <c r="H80" s="316"/>
      <c r="I80" s="124"/>
      <c r="J80" s="124"/>
    </row>
    <row r="81" spans="1:12" ht="15.75" x14ac:dyDescent="0.25">
      <c r="A81" s="424" t="s">
        <v>381</v>
      </c>
      <c r="B81" s="409"/>
      <c r="C81" s="415">
        <f>+'[3]PRC RPW'!$B$132+'[3]PRC RPW'!$B$133+'[3]PRC RPW'!$B$136+'[3]PRC RPW'!$B$137</f>
        <v>848923.84600000014</v>
      </c>
      <c r="D81" s="409"/>
      <c r="H81" s="414"/>
      <c r="I81" s="457"/>
      <c r="J81" s="124"/>
    </row>
    <row r="82" spans="1:12" ht="15.75" x14ac:dyDescent="0.25">
      <c r="A82" s="424" t="s">
        <v>382</v>
      </c>
      <c r="B82" s="409"/>
      <c r="C82" s="415">
        <f>+'[3]PRC RPW'!$B$262</f>
        <v>116214.764</v>
      </c>
      <c r="D82" s="409"/>
      <c r="H82" s="414"/>
      <c r="I82" s="190"/>
      <c r="J82" s="124"/>
    </row>
    <row r="83" spans="1:12" ht="15.75" x14ac:dyDescent="0.25">
      <c r="A83" s="97" t="s">
        <v>63</v>
      </c>
      <c r="B83" s="316"/>
      <c r="C83" s="409">
        <f>SUM(C78:C82)+C75</f>
        <v>67341772.358999997</v>
      </c>
      <c r="D83" s="316"/>
      <c r="H83" s="316"/>
      <c r="I83" s="458"/>
      <c r="J83" s="124"/>
    </row>
    <row r="84" spans="1:12" ht="15.75" x14ac:dyDescent="0.25">
      <c r="A84" s="97" t="s">
        <v>64</v>
      </c>
      <c r="B84" s="316"/>
      <c r="C84" s="316"/>
      <c r="D84" s="409">
        <f>D75+D77</f>
        <v>72318857.583349988</v>
      </c>
      <c r="H84" s="316"/>
      <c r="I84" s="124"/>
      <c r="J84" s="124"/>
      <c r="L84" s="453"/>
    </row>
    <row r="85" spans="1:12" ht="15.75" x14ac:dyDescent="0.25">
      <c r="A85" s="97" t="s">
        <v>65</v>
      </c>
      <c r="B85" s="409"/>
      <c r="C85" s="174">
        <f>C83-D84</f>
        <v>-4977085.2243499905</v>
      </c>
      <c r="D85" s="409"/>
      <c r="E85" s="73"/>
      <c r="F85" s="73"/>
      <c r="H85" s="316"/>
      <c r="I85" s="124"/>
      <c r="J85" s="124"/>
    </row>
    <row r="86" spans="1:12" ht="15.75" x14ac:dyDescent="0.25">
      <c r="B86" s="409"/>
      <c r="C86" s="409"/>
      <c r="D86" s="409"/>
      <c r="E86" s="73"/>
      <c r="F86" s="73"/>
      <c r="H86" s="410"/>
      <c r="I86" s="124"/>
      <c r="J86" s="124"/>
    </row>
    <row r="87" spans="1:12" ht="15.75" x14ac:dyDescent="0.25">
      <c r="A87" s="209" t="s">
        <v>375</v>
      </c>
      <c r="B87" s="478">
        <f>+'[3]PRC RPW'!$G$295</f>
        <v>158302445.35899997</v>
      </c>
      <c r="C87" s="478">
        <f>+'[3]PRC RPW'!$B$319</f>
        <v>67341772.358999982</v>
      </c>
      <c r="D87" s="468"/>
      <c r="E87" s="344"/>
      <c r="F87" s="467"/>
      <c r="H87" s="410"/>
      <c r="I87" s="124"/>
      <c r="J87" s="124"/>
    </row>
    <row r="88" spans="1:12" ht="15.75" x14ac:dyDescent="0.25">
      <c r="B88" s="477">
        <f>+B87-B75</f>
        <v>0</v>
      </c>
      <c r="C88" s="476">
        <f>+C83-C87</f>
        <v>0</v>
      </c>
      <c r="D88" s="404"/>
      <c r="E88" s="73"/>
      <c r="F88" s="73"/>
      <c r="H88" s="437"/>
      <c r="I88" s="124"/>
      <c r="J88" s="124"/>
    </row>
    <row r="89" spans="1:12" ht="15.75" x14ac:dyDescent="0.25">
      <c r="A89" s="170" t="s">
        <v>390</v>
      </c>
      <c r="B89" s="469"/>
      <c r="C89" s="470"/>
      <c r="D89" s="469"/>
      <c r="E89" s="471"/>
      <c r="F89" s="472"/>
      <c r="G89" s="211"/>
      <c r="H89" s="213"/>
    </row>
    <row r="90" spans="1:12" ht="15.75" x14ac:dyDescent="0.25">
      <c r="A90" s="63" t="s">
        <v>392</v>
      </c>
      <c r="B90" s="73"/>
      <c r="C90" s="473"/>
      <c r="D90" s="474"/>
      <c r="E90" s="140"/>
      <c r="F90" s="475"/>
      <c r="G90" s="124"/>
      <c r="H90" s="430"/>
    </row>
    <row r="91" spans="1:12" x14ac:dyDescent="0.2">
      <c r="B91" s="213"/>
      <c r="C91" s="214"/>
      <c r="D91" s="445"/>
      <c r="E91" s="446"/>
      <c r="F91" s="447"/>
      <c r="G91" s="441"/>
      <c r="H91" s="430"/>
    </row>
    <row r="92" spans="1:12" x14ac:dyDescent="0.2">
      <c r="B92" s="213"/>
      <c r="C92" s="215"/>
      <c r="D92" s="430"/>
      <c r="E92" s="446"/>
      <c r="F92" s="448"/>
      <c r="G92" s="441"/>
      <c r="H92" s="430"/>
    </row>
    <row r="93" spans="1:12" x14ac:dyDescent="0.2">
      <c r="B93" s="213"/>
      <c r="C93" s="216"/>
      <c r="D93" s="449"/>
      <c r="E93" s="440"/>
      <c r="F93" s="447"/>
      <c r="G93" s="441"/>
      <c r="H93" s="430"/>
      <c r="I93" s="173"/>
    </row>
    <row r="94" spans="1:12" x14ac:dyDescent="0.2">
      <c r="B94" s="213"/>
      <c r="C94" s="213"/>
      <c r="D94" s="124"/>
      <c r="E94" s="124"/>
      <c r="F94" s="430"/>
      <c r="G94" s="441"/>
      <c r="H94" s="124"/>
    </row>
    <row r="95" spans="1:12" x14ac:dyDescent="0.2">
      <c r="B95" s="213"/>
      <c r="C95" s="215"/>
      <c r="D95" s="430"/>
      <c r="E95" s="425"/>
      <c r="F95" s="425"/>
      <c r="G95" s="425"/>
      <c r="H95" s="430"/>
    </row>
    <row r="96" spans="1:12" x14ac:dyDescent="0.2">
      <c r="B96" s="213"/>
      <c r="C96" s="217"/>
      <c r="D96" s="430"/>
      <c r="E96" s="425"/>
      <c r="F96" s="425"/>
      <c r="G96" s="425"/>
      <c r="H96" s="430"/>
    </row>
    <row r="97" spans="2:8" ht="15.75" x14ac:dyDescent="0.25">
      <c r="B97" s="213"/>
      <c r="C97" s="213"/>
      <c r="D97" s="430"/>
      <c r="E97" s="425"/>
      <c r="F97" s="426"/>
      <c r="G97" s="426"/>
      <c r="H97" s="430"/>
    </row>
    <row r="98" spans="2:8" ht="15.75" x14ac:dyDescent="0.25">
      <c r="B98" s="213"/>
      <c r="C98" s="213"/>
      <c r="D98" s="430"/>
      <c r="E98" s="425"/>
      <c r="F98" s="426"/>
      <c r="G98" s="426"/>
      <c r="H98" s="441"/>
    </row>
    <row r="99" spans="2:8" x14ac:dyDescent="0.2">
      <c r="B99" s="213"/>
      <c r="C99" s="213"/>
      <c r="D99" s="212"/>
      <c r="E99" s="425"/>
      <c r="F99" s="427"/>
      <c r="G99" s="425"/>
      <c r="H99" s="439"/>
    </row>
    <row r="100" spans="2:8" x14ac:dyDescent="0.2">
      <c r="B100" s="213"/>
      <c r="C100" s="213"/>
      <c r="D100" s="212"/>
      <c r="E100" s="459"/>
      <c r="F100" s="124"/>
      <c r="G100" s="425"/>
      <c r="H100" s="440"/>
    </row>
    <row r="101" spans="2:8" x14ac:dyDescent="0.2">
      <c r="B101" s="213"/>
      <c r="C101" s="213"/>
      <c r="D101" s="212"/>
      <c r="E101" s="425"/>
      <c r="F101" s="428"/>
      <c r="G101" s="425"/>
      <c r="H101" s="432"/>
    </row>
    <row r="102" spans="2:8" x14ac:dyDescent="0.2">
      <c r="B102" s="213"/>
      <c r="C102" s="213"/>
      <c r="D102" s="212"/>
      <c r="E102" s="425"/>
      <c r="F102" s="428"/>
      <c r="G102" s="425"/>
      <c r="H102" s="439"/>
    </row>
    <row r="103" spans="2:8" x14ac:dyDescent="0.2">
      <c r="B103" s="213"/>
      <c r="C103" s="213"/>
      <c r="D103" s="212"/>
      <c r="E103" s="425"/>
      <c r="F103" s="428"/>
      <c r="G103" s="425"/>
      <c r="H103" s="440"/>
    </row>
    <row r="104" spans="2:8" x14ac:dyDescent="0.2">
      <c r="B104" s="213"/>
      <c r="C104" s="213"/>
      <c r="D104" s="212"/>
      <c r="E104" s="452"/>
      <c r="F104" s="428"/>
      <c r="G104" s="425"/>
      <c r="H104" s="430"/>
    </row>
    <row r="105" spans="2:8" x14ac:dyDescent="0.2">
      <c r="B105" s="213"/>
      <c r="C105" s="213"/>
      <c r="D105" s="212"/>
      <c r="E105" s="212"/>
      <c r="F105" s="430"/>
      <c r="G105" s="432"/>
      <c r="H105" s="430"/>
    </row>
    <row r="106" spans="2:8" x14ac:dyDescent="0.2">
      <c r="B106" s="213"/>
      <c r="C106" s="213"/>
      <c r="D106" s="212"/>
      <c r="E106" s="212"/>
      <c r="F106" s="430"/>
      <c r="G106" s="441"/>
      <c r="H106" s="430"/>
    </row>
    <row r="107" spans="2:8" x14ac:dyDescent="0.2">
      <c r="B107" s="213"/>
      <c r="C107" s="213"/>
      <c r="D107" s="212"/>
      <c r="E107" s="212"/>
      <c r="F107" s="430"/>
      <c r="G107" s="441"/>
      <c r="H107" s="430"/>
    </row>
    <row r="108" spans="2:8" x14ac:dyDescent="0.2">
      <c r="D108" s="124"/>
      <c r="E108" s="124"/>
      <c r="F108" s="124"/>
      <c r="G108" s="442"/>
      <c r="H108" s="124"/>
    </row>
    <row r="109" spans="2:8" ht="15.75" x14ac:dyDescent="0.25">
      <c r="D109" s="124"/>
      <c r="E109" s="124"/>
      <c r="F109" s="443"/>
      <c r="G109" s="444"/>
      <c r="H109" s="124"/>
    </row>
    <row r="110" spans="2:8" x14ac:dyDescent="0.2">
      <c r="D110" s="124"/>
      <c r="E110" s="124"/>
      <c r="F110" s="124"/>
      <c r="G110" s="124"/>
      <c r="H110" s="124"/>
    </row>
  </sheetData>
  <phoneticPr fontId="19" type="noConversion"/>
  <printOptions horizontalCentered="1"/>
  <pageMargins left="0.25" right="0.25" top="0.25" bottom="0.25" header="0.5" footer="0.5"/>
  <pageSetup scale="54" orientation="portrait" r:id="rId1"/>
  <headerFooter alignWithMargins="0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  <pageSetUpPr fitToPage="1"/>
  </sheetPr>
  <dimension ref="A1:O14"/>
  <sheetViews>
    <sheetView zoomScale="85" zoomScaleNormal="85" workbookViewId="0">
      <pane ySplit="9" topLeftCell="A10" activePane="bottomLeft" state="frozen"/>
      <selection pane="bottomLeft" activeCell="A11" sqref="A11"/>
    </sheetView>
  </sheetViews>
  <sheetFormatPr defaultColWidth="8.85546875" defaultRowHeight="15" x14ac:dyDescent="0.2"/>
  <cols>
    <col min="1" max="1" width="59.85546875" style="63" customWidth="1"/>
    <col min="2" max="2" width="17.140625" style="63" customWidth="1"/>
    <col min="3" max="3" width="9.28515625" style="63" bestFit="1" customWidth="1"/>
    <col min="4" max="4" width="17.140625" style="63" customWidth="1"/>
    <col min="5" max="5" width="14.85546875" style="63" bestFit="1" customWidth="1"/>
    <col min="6" max="6" width="16.7109375" style="63" customWidth="1"/>
    <col min="7" max="7" width="9.28515625" style="63" bestFit="1" customWidth="1"/>
    <col min="8" max="8" width="17.42578125" style="63" bestFit="1" customWidth="1"/>
    <col min="9" max="9" width="10.5703125" style="63" customWidth="1"/>
    <col min="10" max="10" width="17.28515625" style="63" bestFit="1" customWidth="1"/>
    <col min="11" max="11" width="12.28515625" style="63" customWidth="1"/>
    <col min="12" max="12" width="14.140625" style="63" customWidth="1"/>
    <col min="13" max="13" width="17.42578125" style="63" bestFit="1" customWidth="1"/>
    <col min="14" max="14" width="11.42578125" style="63" bestFit="1" customWidth="1"/>
    <col min="15" max="16384" width="8.85546875" style="63"/>
  </cols>
  <sheetData>
    <row r="1" spans="1:15" s="80" customFormat="1" ht="15.75" x14ac:dyDescent="0.25">
      <c r="A1" s="60" t="str">
        <f>+Financial_Results!A1</f>
        <v>2013 ACD</v>
      </c>
      <c r="B1" s="103"/>
      <c r="C1" s="103"/>
      <c r="D1" s="103"/>
      <c r="E1" s="103"/>
      <c r="F1" s="104"/>
      <c r="G1" s="104"/>
      <c r="H1" s="104"/>
      <c r="I1" s="104"/>
      <c r="J1" s="104"/>
      <c r="O1" s="79"/>
    </row>
    <row r="2" spans="1:15" s="80" customFormat="1" ht="15.75" x14ac:dyDescent="0.25">
      <c r="A2" s="105">
        <f ca="1">NOW()</f>
        <v>41706.557639120372</v>
      </c>
      <c r="B2" s="103"/>
      <c r="C2" s="103"/>
      <c r="D2" s="103"/>
      <c r="E2" s="103"/>
      <c r="F2" s="104"/>
      <c r="G2" s="104"/>
      <c r="H2" s="104"/>
      <c r="I2" s="104"/>
      <c r="J2" s="104"/>
    </row>
    <row r="3" spans="1:15" s="80" customFormat="1" ht="15.75" x14ac:dyDescent="0.25">
      <c r="A3" s="106"/>
      <c r="B3" s="66" t="s">
        <v>321</v>
      </c>
      <c r="C3" s="66"/>
      <c r="D3" s="66"/>
      <c r="E3" s="66"/>
      <c r="F3" s="107"/>
      <c r="G3" s="107"/>
      <c r="H3" s="107"/>
      <c r="I3" s="107"/>
      <c r="J3" s="107"/>
      <c r="K3" s="107"/>
      <c r="L3" s="107"/>
      <c r="M3" s="107"/>
      <c r="N3" s="107"/>
    </row>
    <row r="4" spans="1:15" s="80" customFormat="1" ht="15.75" x14ac:dyDescent="0.25">
      <c r="A4" s="106"/>
      <c r="B4" s="32" t="s">
        <v>11</v>
      </c>
      <c r="C4" s="32"/>
      <c r="D4" s="32"/>
      <c r="E4" s="32"/>
      <c r="F4" s="107"/>
      <c r="G4" s="107"/>
      <c r="H4" s="107"/>
      <c r="I4" s="107"/>
      <c r="J4" s="107"/>
      <c r="K4" s="107"/>
      <c r="L4" s="107"/>
      <c r="M4" s="107"/>
      <c r="N4" s="107"/>
    </row>
    <row r="5" spans="1:15" s="80" customFormat="1" ht="15.75" x14ac:dyDescent="0.25">
      <c r="A5" s="108"/>
      <c r="B5" s="32" t="s">
        <v>322</v>
      </c>
      <c r="C5" s="32"/>
      <c r="D5" s="32"/>
      <c r="E5" s="32"/>
      <c r="F5" s="107"/>
      <c r="G5" s="107"/>
      <c r="H5" s="107"/>
      <c r="I5" s="107"/>
      <c r="J5" s="107"/>
      <c r="K5" s="107"/>
      <c r="L5" s="107"/>
      <c r="M5" s="107"/>
      <c r="N5" s="107"/>
    </row>
    <row r="6" spans="1:15" s="80" customFormat="1" ht="15.75" x14ac:dyDescent="0.25">
      <c r="A6" s="108"/>
      <c r="B6" s="33"/>
      <c r="C6" s="33"/>
      <c r="D6" s="33"/>
      <c r="E6" s="33"/>
      <c r="F6" s="109"/>
      <c r="G6" s="109"/>
      <c r="H6" s="109"/>
      <c r="I6" s="109"/>
      <c r="J6" s="110" t="s">
        <v>13</v>
      </c>
      <c r="K6" s="108"/>
      <c r="L6" s="111"/>
      <c r="M6" s="110" t="s">
        <v>13</v>
      </c>
      <c r="N6" s="111"/>
    </row>
    <row r="7" spans="1:15" s="80" customFormat="1" ht="15.75" x14ac:dyDescent="0.25">
      <c r="D7" s="70" t="s">
        <v>84</v>
      </c>
      <c r="E7" s="70"/>
      <c r="F7" s="60" t="s">
        <v>12</v>
      </c>
      <c r="G7" s="60"/>
      <c r="H7" s="112" t="s">
        <v>14</v>
      </c>
      <c r="I7" s="112"/>
      <c r="J7" s="110" t="s">
        <v>0</v>
      </c>
      <c r="L7" s="111"/>
      <c r="M7" s="110" t="s">
        <v>0</v>
      </c>
      <c r="N7" s="111"/>
    </row>
    <row r="8" spans="1:15" s="80" customFormat="1" ht="15.75" x14ac:dyDescent="0.25">
      <c r="B8" s="113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113" t="s">
        <v>1</v>
      </c>
      <c r="I8" s="60" t="s">
        <v>4</v>
      </c>
      <c r="J8" s="110" t="s">
        <v>1</v>
      </c>
      <c r="K8" s="113" t="s">
        <v>15</v>
      </c>
      <c r="L8" s="110" t="s">
        <v>16</v>
      </c>
      <c r="M8" s="110" t="s">
        <v>16</v>
      </c>
      <c r="N8" s="110" t="s">
        <v>1</v>
      </c>
    </row>
    <row r="9" spans="1:15" s="80" customFormat="1" ht="15.75" x14ac:dyDescent="0.25">
      <c r="A9" s="113" t="s">
        <v>86</v>
      </c>
      <c r="B9" s="114" t="s">
        <v>5</v>
      </c>
      <c r="C9" s="72" t="s">
        <v>7</v>
      </c>
      <c r="D9" s="71" t="s">
        <v>5</v>
      </c>
      <c r="E9" s="71" t="s">
        <v>5</v>
      </c>
      <c r="F9" s="114" t="s">
        <v>5</v>
      </c>
      <c r="G9" s="72" t="s">
        <v>7</v>
      </c>
      <c r="H9" s="114" t="s">
        <v>5</v>
      </c>
      <c r="I9" s="72" t="s">
        <v>7</v>
      </c>
      <c r="J9" s="115" t="s">
        <v>6</v>
      </c>
      <c r="K9" s="116" t="s">
        <v>17</v>
      </c>
      <c r="L9" s="115" t="s">
        <v>17</v>
      </c>
      <c r="M9" s="115" t="s">
        <v>17</v>
      </c>
      <c r="N9" s="115" t="s">
        <v>18</v>
      </c>
    </row>
    <row r="10" spans="1:15" s="80" customFormat="1" ht="15.75" x14ac:dyDescent="0.25">
      <c r="A10" s="73" t="s">
        <v>229</v>
      </c>
      <c r="B10" s="221"/>
      <c r="C10" s="221"/>
      <c r="D10" s="221"/>
      <c r="E10" s="221"/>
      <c r="F10" s="221"/>
      <c r="G10" s="221"/>
      <c r="H10" s="221"/>
      <c r="I10" s="221"/>
      <c r="J10" s="138"/>
      <c r="K10" s="75"/>
      <c r="L10" s="138"/>
      <c r="M10" s="138"/>
      <c r="N10" s="138"/>
    </row>
    <row r="11" spans="1:15" ht="15.75" x14ac:dyDescent="0.25">
      <c r="A11" s="73"/>
      <c r="B11" s="81"/>
      <c r="C11" s="81"/>
      <c r="D11" s="81"/>
      <c r="E11" s="81"/>
      <c r="F11" s="81"/>
      <c r="G11" s="81"/>
      <c r="H11" s="81"/>
      <c r="I11" s="81"/>
    </row>
    <row r="12" spans="1:15" x14ac:dyDescent="0.2">
      <c r="E12" s="179"/>
    </row>
    <row r="14" spans="1:15" ht="15.75" x14ac:dyDescent="0.25">
      <c r="A14" s="479" t="s">
        <v>398</v>
      </c>
    </row>
  </sheetData>
  <phoneticPr fontId="19" type="noConversion"/>
  <printOptions horizontalCentered="1" headings="1" gridLines="1"/>
  <pageMargins left="0.25" right="0.25" top="0.75" bottom="0.5" header="0.5" footer="0.5"/>
  <pageSetup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N15"/>
  <sheetViews>
    <sheetView zoomScale="85" zoomScaleNormal="85" workbookViewId="0">
      <selection activeCell="A15" sqref="A15"/>
    </sheetView>
  </sheetViews>
  <sheetFormatPr defaultColWidth="8.85546875" defaultRowHeight="15" x14ac:dyDescent="0.2"/>
  <cols>
    <col min="1" max="1" width="56.85546875" style="63" customWidth="1"/>
    <col min="2" max="2" width="18.85546875" style="63" bestFit="1" customWidth="1"/>
    <col min="3" max="3" width="9.28515625" style="63" bestFit="1" customWidth="1"/>
    <col min="4" max="4" width="18.85546875" style="63" customWidth="1"/>
    <col min="5" max="5" width="15.42578125" style="63" bestFit="1" customWidth="1"/>
    <col min="6" max="6" width="23" style="63" bestFit="1" customWidth="1"/>
    <col min="7" max="7" width="9.28515625" style="63" bestFit="1" customWidth="1"/>
    <col min="8" max="8" width="18.5703125" style="63" bestFit="1" customWidth="1"/>
    <col min="9" max="9" width="9.28515625" style="63" bestFit="1" customWidth="1"/>
    <col min="10" max="10" width="17.28515625" style="63" bestFit="1" customWidth="1"/>
    <col min="11" max="11" width="14" style="63" bestFit="1" customWidth="1"/>
    <col min="12" max="12" width="12.5703125" style="63" bestFit="1" customWidth="1"/>
    <col min="13" max="13" width="17.42578125" style="63" bestFit="1" customWidth="1"/>
    <col min="14" max="14" width="11.42578125" style="63" bestFit="1" customWidth="1"/>
    <col min="15" max="16384" width="8.85546875" style="63"/>
  </cols>
  <sheetData>
    <row r="1" spans="1:14" ht="15.75" x14ac:dyDescent="0.25">
      <c r="A1" s="60" t="str">
        <f>+Financial_Results!A1</f>
        <v>2013 ACD</v>
      </c>
      <c r="B1" s="73"/>
      <c r="C1" s="73"/>
      <c r="D1" s="73"/>
      <c r="E1" s="73"/>
      <c r="F1" s="62"/>
      <c r="G1" s="62"/>
      <c r="H1" s="62"/>
      <c r="I1" s="62"/>
      <c r="J1" s="62"/>
    </row>
    <row r="2" spans="1:14" ht="15.75" x14ac:dyDescent="0.25">
      <c r="A2" s="64">
        <f ca="1">NOW()</f>
        <v>41706.557639120372</v>
      </c>
      <c r="B2" s="73"/>
      <c r="C2" s="73"/>
      <c r="D2" s="73"/>
      <c r="E2" s="73"/>
      <c r="F2" s="62"/>
      <c r="G2" s="62"/>
      <c r="H2" s="62"/>
      <c r="I2" s="62"/>
      <c r="J2" s="62"/>
    </row>
    <row r="3" spans="1:14" ht="15.75" x14ac:dyDescent="0.25">
      <c r="A3" s="65"/>
      <c r="B3" s="66" t="s">
        <v>321</v>
      </c>
      <c r="C3" s="66"/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</row>
    <row r="4" spans="1:14" ht="15.75" x14ac:dyDescent="0.25">
      <c r="A4" s="65"/>
      <c r="B4" s="18" t="s">
        <v>395</v>
      </c>
      <c r="C4" s="18"/>
      <c r="D4" s="18"/>
      <c r="E4" s="18"/>
      <c r="F4" s="67"/>
      <c r="G4" s="67"/>
      <c r="H4" s="67"/>
      <c r="I4" s="67"/>
      <c r="J4" s="67"/>
      <c r="K4" s="67"/>
      <c r="L4" s="67"/>
      <c r="M4" s="67"/>
      <c r="N4" s="67"/>
    </row>
    <row r="5" spans="1:14" ht="15.75" x14ac:dyDescent="0.25">
      <c r="A5" s="68"/>
      <c r="B5" s="18" t="s">
        <v>322</v>
      </c>
      <c r="C5" s="18"/>
      <c r="D5" s="18"/>
      <c r="E5" s="18"/>
      <c r="F5" s="67"/>
      <c r="G5" s="67"/>
      <c r="H5" s="67"/>
      <c r="I5" s="67"/>
      <c r="J5" s="67"/>
      <c r="K5" s="67"/>
      <c r="L5" s="67"/>
      <c r="M5" s="67"/>
      <c r="N5" s="67"/>
    </row>
    <row r="6" spans="1:14" ht="15.75" x14ac:dyDescent="0.25">
      <c r="A6" s="68"/>
      <c r="B6" s="20"/>
      <c r="C6" s="20"/>
      <c r="D6" s="20"/>
      <c r="E6" s="20"/>
      <c r="F6" s="69"/>
      <c r="G6" s="69"/>
      <c r="H6" s="69"/>
      <c r="I6" s="69"/>
      <c r="J6" s="135" t="s">
        <v>13</v>
      </c>
      <c r="K6" s="68"/>
      <c r="L6" s="136"/>
      <c r="M6" s="135" t="s">
        <v>13</v>
      </c>
      <c r="N6" s="136"/>
    </row>
    <row r="7" spans="1:14" ht="15.75" x14ac:dyDescent="0.25">
      <c r="D7" s="70" t="s">
        <v>84</v>
      </c>
      <c r="E7" s="70"/>
      <c r="F7" s="60" t="s">
        <v>12</v>
      </c>
      <c r="G7" s="60"/>
      <c r="H7" s="70" t="s">
        <v>14</v>
      </c>
      <c r="I7" s="70"/>
      <c r="J7" s="135" t="s">
        <v>0</v>
      </c>
      <c r="L7" s="136"/>
      <c r="M7" s="135" t="s">
        <v>0</v>
      </c>
      <c r="N7" s="136"/>
    </row>
    <row r="8" spans="1:14" ht="15.75" x14ac:dyDescent="0.25">
      <c r="B8" s="60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60" t="s">
        <v>1</v>
      </c>
      <c r="I8" s="60" t="s">
        <v>4</v>
      </c>
      <c r="J8" s="135" t="s">
        <v>1</v>
      </c>
      <c r="K8" s="60" t="s">
        <v>15</v>
      </c>
      <c r="L8" s="135" t="s">
        <v>16</v>
      </c>
      <c r="M8" s="135" t="s">
        <v>16</v>
      </c>
      <c r="N8" s="135" t="s">
        <v>1</v>
      </c>
    </row>
    <row r="9" spans="1:14" ht="15.75" x14ac:dyDescent="0.25">
      <c r="A9" s="60" t="s">
        <v>86</v>
      </c>
      <c r="B9" s="71" t="s">
        <v>5</v>
      </c>
      <c r="C9" s="72" t="s">
        <v>7</v>
      </c>
      <c r="D9" s="71" t="s">
        <v>5</v>
      </c>
      <c r="E9" s="71" t="s">
        <v>5</v>
      </c>
      <c r="F9" s="71" t="s">
        <v>5</v>
      </c>
      <c r="G9" s="72" t="s">
        <v>7</v>
      </c>
      <c r="H9" s="71" t="s">
        <v>5</v>
      </c>
      <c r="I9" s="72" t="s">
        <v>7</v>
      </c>
      <c r="J9" s="137" t="s">
        <v>6</v>
      </c>
      <c r="K9" s="72" t="s">
        <v>17</v>
      </c>
      <c r="L9" s="137" t="s">
        <v>17</v>
      </c>
      <c r="M9" s="137" t="s">
        <v>17</v>
      </c>
      <c r="N9" s="137" t="s">
        <v>18</v>
      </c>
    </row>
    <row r="10" spans="1:14" ht="15.75" x14ac:dyDescent="0.25">
      <c r="A10" s="73" t="s">
        <v>8</v>
      </c>
    </row>
    <row r="12" spans="1:14" x14ac:dyDescent="0.2">
      <c r="A12" s="38" t="s">
        <v>397</v>
      </c>
      <c r="B12" s="84"/>
      <c r="C12" s="81"/>
      <c r="D12" s="81"/>
      <c r="E12" s="191"/>
      <c r="F12" s="81"/>
    </row>
    <row r="13" spans="1:14" x14ac:dyDescent="0.2">
      <c r="A13" s="127"/>
      <c r="B13" s="124"/>
      <c r="C13" s="124"/>
      <c r="D13" s="124"/>
      <c r="E13" s="84"/>
      <c r="F13" s="84"/>
      <c r="G13" s="84"/>
      <c r="H13" s="84"/>
      <c r="I13" s="124"/>
    </row>
    <row r="15" spans="1:14" ht="15.75" x14ac:dyDescent="0.25">
      <c r="A15" s="479" t="s">
        <v>398</v>
      </c>
    </row>
  </sheetData>
  <phoneticPr fontId="19" type="noConversion"/>
  <printOptions horizontalCentered="1" headings="1" gridLines="1"/>
  <pageMargins left="0.25" right="0.25" top="0.5" bottom="0.25" header="0.5" footer="0.5"/>
  <pageSetup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A1:O13"/>
  <sheetViews>
    <sheetView zoomScale="85" zoomScaleNormal="85" workbookViewId="0">
      <pane ySplit="9" topLeftCell="A10" activePane="bottomLeft" state="frozen"/>
      <selection pane="bottomLeft" activeCell="A11" sqref="A11"/>
    </sheetView>
  </sheetViews>
  <sheetFormatPr defaultColWidth="8.85546875" defaultRowHeight="15" x14ac:dyDescent="0.2"/>
  <cols>
    <col min="1" max="1" width="56.85546875" style="63" customWidth="1"/>
    <col min="2" max="2" width="20" style="63" bestFit="1" customWidth="1"/>
    <col min="3" max="3" width="9.28515625" style="63" bestFit="1" customWidth="1"/>
    <col min="4" max="4" width="17.42578125" style="63" bestFit="1" customWidth="1"/>
    <col min="5" max="5" width="20.28515625" style="63" customWidth="1"/>
    <col min="6" max="6" width="17.85546875" style="63" bestFit="1" customWidth="1"/>
    <col min="7" max="7" width="9.28515625" style="63" bestFit="1" customWidth="1"/>
    <col min="8" max="8" width="19.140625" style="63" bestFit="1" customWidth="1"/>
    <col min="9" max="9" width="9.28515625" style="63" bestFit="1" customWidth="1"/>
    <col min="10" max="10" width="18.7109375" style="63" bestFit="1" customWidth="1"/>
    <col min="11" max="11" width="13.42578125" style="63" customWidth="1"/>
    <col min="12" max="12" width="12.5703125" style="63" bestFit="1" customWidth="1"/>
    <col min="13" max="13" width="17.42578125" style="63" bestFit="1" customWidth="1"/>
    <col min="14" max="14" width="11.42578125" style="63" bestFit="1" customWidth="1"/>
    <col min="15" max="16384" width="8.85546875" style="63"/>
  </cols>
  <sheetData>
    <row r="1" spans="1:15" ht="15.75" x14ac:dyDescent="0.25">
      <c r="A1" s="60" t="str">
        <f>+Financial_Results!A1</f>
        <v>2013 ACD</v>
      </c>
      <c r="B1" s="73"/>
      <c r="C1" s="73"/>
      <c r="D1" s="73"/>
      <c r="E1" s="73"/>
      <c r="F1" s="62"/>
      <c r="G1" s="62"/>
      <c r="H1" s="62"/>
      <c r="I1" s="62"/>
      <c r="J1" s="62"/>
      <c r="O1" s="185"/>
    </row>
    <row r="2" spans="1:15" ht="15.75" x14ac:dyDescent="0.25">
      <c r="A2" s="64">
        <f ca="1">NOW()</f>
        <v>41706.557639120372</v>
      </c>
      <c r="B2" s="73"/>
      <c r="C2" s="73"/>
      <c r="D2" s="73"/>
      <c r="E2" s="73"/>
      <c r="F2" s="62"/>
      <c r="G2" s="62"/>
      <c r="H2" s="62"/>
      <c r="I2" s="62"/>
      <c r="J2" s="62"/>
    </row>
    <row r="3" spans="1:15" ht="15.75" x14ac:dyDescent="0.25">
      <c r="A3" s="65"/>
      <c r="B3" s="66" t="s">
        <v>321</v>
      </c>
      <c r="C3" s="66"/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</row>
    <row r="4" spans="1:15" ht="15.75" x14ac:dyDescent="0.25">
      <c r="A4" s="65"/>
      <c r="B4" s="18" t="s">
        <v>9</v>
      </c>
      <c r="C4" s="18"/>
      <c r="D4" s="18"/>
      <c r="E4" s="18"/>
      <c r="F4" s="67"/>
      <c r="G4" s="67"/>
      <c r="H4" s="67"/>
      <c r="I4" s="67"/>
      <c r="J4" s="67"/>
      <c r="K4" s="67"/>
      <c r="L4" s="67"/>
      <c r="M4" s="67"/>
      <c r="N4" s="67"/>
    </row>
    <row r="5" spans="1:15" ht="15.75" x14ac:dyDescent="0.25">
      <c r="A5" s="68"/>
      <c r="B5" s="18" t="s">
        <v>322</v>
      </c>
      <c r="C5" s="18"/>
      <c r="D5" s="18"/>
      <c r="E5" s="18"/>
      <c r="F5" s="67"/>
      <c r="G5" s="67"/>
      <c r="H5" s="67"/>
      <c r="I5" s="67"/>
      <c r="J5" s="67"/>
      <c r="K5" s="67"/>
      <c r="L5" s="67"/>
      <c r="M5" s="67"/>
      <c r="N5" s="67"/>
    </row>
    <row r="6" spans="1:15" ht="15.75" x14ac:dyDescent="0.25">
      <c r="A6" s="68"/>
      <c r="B6" s="20"/>
      <c r="C6" s="20"/>
      <c r="D6" s="20"/>
      <c r="E6" s="20"/>
      <c r="F6" s="69"/>
      <c r="G6" s="69"/>
      <c r="H6" s="69"/>
      <c r="I6" s="69"/>
      <c r="J6" s="135" t="s">
        <v>13</v>
      </c>
      <c r="K6" s="68"/>
      <c r="L6" s="136"/>
      <c r="M6" s="135" t="s">
        <v>13</v>
      </c>
      <c r="N6" s="136"/>
    </row>
    <row r="7" spans="1:15" ht="15.75" x14ac:dyDescent="0.25">
      <c r="D7" s="70" t="s">
        <v>84</v>
      </c>
      <c r="E7" s="70"/>
      <c r="F7" s="60" t="s">
        <v>12</v>
      </c>
      <c r="G7" s="60"/>
      <c r="H7" s="70" t="s">
        <v>14</v>
      </c>
      <c r="I7" s="70"/>
      <c r="J7" s="135" t="s">
        <v>0</v>
      </c>
      <c r="L7" s="136"/>
      <c r="M7" s="135" t="s">
        <v>0</v>
      </c>
      <c r="N7" s="136"/>
    </row>
    <row r="8" spans="1:15" ht="15.75" x14ac:dyDescent="0.25">
      <c r="B8" s="60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60" t="s">
        <v>1</v>
      </c>
      <c r="I8" s="60" t="s">
        <v>4</v>
      </c>
      <c r="J8" s="135" t="s">
        <v>1</v>
      </c>
      <c r="K8" s="60" t="s">
        <v>15</v>
      </c>
      <c r="L8" s="135" t="s">
        <v>16</v>
      </c>
      <c r="M8" s="135" t="s">
        <v>16</v>
      </c>
      <c r="N8" s="135" t="s">
        <v>1</v>
      </c>
    </row>
    <row r="9" spans="1:15" ht="15.75" x14ac:dyDescent="0.25">
      <c r="A9" s="60" t="s">
        <v>86</v>
      </c>
      <c r="B9" s="71" t="s">
        <v>5</v>
      </c>
      <c r="C9" s="72" t="s">
        <v>7</v>
      </c>
      <c r="D9" s="71" t="s">
        <v>5</v>
      </c>
      <c r="E9" s="71" t="s">
        <v>5</v>
      </c>
      <c r="F9" s="71" t="s">
        <v>5</v>
      </c>
      <c r="G9" s="72" t="s">
        <v>7</v>
      </c>
      <c r="H9" s="71" t="s">
        <v>5</v>
      </c>
      <c r="I9" s="72" t="s">
        <v>7</v>
      </c>
      <c r="J9" s="137" t="s">
        <v>6</v>
      </c>
      <c r="K9" s="72" t="s">
        <v>17</v>
      </c>
      <c r="L9" s="137" t="s">
        <v>17</v>
      </c>
      <c r="M9" s="137" t="s">
        <v>17</v>
      </c>
      <c r="N9" s="137" t="s">
        <v>18</v>
      </c>
    </row>
    <row r="10" spans="1:15" ht="15.75" x14ac:dyDescent="0.25">
      <c r="A10" s="78"/>
      <c r="B10" s="74"/>
      <c r="C10" s="75"/>
      <c r="D10" s="74"/>
      <c r="E10" s="74"/>
      <c r="F10" s="74"/>
      <c r="G10" s="75"/>
      <c r="H10" s="74"/>
      <c r="I10" s="75"/>
      <c r="J10" s="138"/>
      <c r="K10" s="75"/>
      <c r="L10" s="138"/>
      <c r="M10" s="138"/>
      <c r="N10" s="138"/>
    </row>
    <row r="11" spans="1:15" ht="15.75" x14ac:dyDescent="0.25">
      <c r="A11" s="76"/>
      <c r="B11" s="74"/>
      <c r="C11" s="75"/>
      <c r="D11" s="74"/>
      <c r="E11" s="74"/>
      <c r="F11" s="74"/>
      <c r="G11" s="75"/>
      <c r="H11" s="74"/>
      <c r="I11" s="75"/>
      <c r="J11" s="138"/>
      <c r="K11" s="75"/>
      <c r="L11" s="138"/>
      <c r="M11" s="138"/>
      <c r="N11" s="138"/>
    </row>
    <row r="13" spans="1:15" ht="15.75" x14ac:dyDescent="0.25">
      <c r="A13" s="479" t="s">
        <v>398</v>
      </c>
    </row>
  </sheetData>
  <phoneticPr fontId="19" type="noConversion"/>
  <printOptions horizontalCentered="1" headings="1" gridLines="1"/>
  <pageMargins left="0.25" right="0.25" top="0.5" bottom="0.25" header="0.5" footer="0.5"/>
  <pageSetup scale="5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  <pageSetUpPr fitToPage="1"/>
  </sheetPr>
  <dimension ref="A1:N11"/>
  <sheetViews>
    <sheetView topLeftCell="A7" zoomScaleNormal="100" workbookViewId="0">
      <selection activeCell="A11" sqref="A11"/>
    </sheetView>
  </sheetViews>
  <sheetFormatPr defaultColWidth="8.85546875" defaultRowHeight="15" x14ac:dyDescent="0.2"/>
  <cols>
    <col min="1" max="1" width="56.85546875" style="63" customWidth="1"/>
    <col min="2" max="2" width="19" style="63" bestFit="1" customWidth="1"/>
    <col min="3" max="3" width="9.85546875" style="63" bestFit="1" customWidth="1"/>
    <col min="4" max="4" width="20.28515625" style="63" bestFit="1" customWidth="1"/>
    <col min="5" max="5" width="17" style="63" customWidth="1"/>
    <col min="6" max="6" width="18" style="63" bestFit="1" customWidth="1"/>
    <col min="7" max="7" width="9.85546875" style="63" bestFit="1" customWidth="1"/>
    <col min="8" max="8" width="19" style="63" bestFit="1" customWidth="1"/>
    <col min="9" max="9" width="9.85546875" style="63" bestFit="1" customWidth="1"/>
    <col min="10" max="10" width="18" style="63" bestFit="1" customWidth="1"/>
    <col min="11" max="11" width="12.28515625" style="63" customWidth="1"/>
    <col min="12" max="12" width="14" style="63" customWidth="1"/>
    <col min="13" max="13" width="17.42578125" style="63" bestFit="1" customWidth="1"/>
    <col min="14" max="14" width="11.42578125" style="63" bestFit="1" customWidth="1"/>
    <col min="15" max="16384" width="8.85546875" style="63"/>
  </cols>
  <sheetData>
    <row r="1" spans="1:14" ht="15.75" x14ac:dyDescent="0.25">
      <c r="A1" s="60" t="str">
        <f>+Financial_Results!A1</f>
        <v>2013 ACD</v>
      </c>
      <c r="B1" s="73"/>
      <c r="C1" s="73"/>
      <c r="D1" s="73"/>
      <c r="E1" s="73"/>
      <c r="F1" s="62"/>
      <c r="G1" s="62"/>
      <c r="H1" s="62"/>
      <c r="I1" s="62"/>
      <c r="J1" s="62"/>
    </row>
    <row r="2" spans="1:14" ht="15.75" x14ac:dyDescent="0.25">
      <c r="A2" s="64">
        <f ca="1">NOW()</f>
        <v>41706.557639120372</v>
      </c>
      <c r="B2" s="73"/>
      <c r="C2" s="73"/>
      <c r="D2" s="73"/>
      <c r="E2" s="73"/>
      <c r="F2" s="62"/>
      <c r="G2" s="62"/>
      <c r="H2" s="62"/>
      <c r="I2" s="62"/>
      <c r="J2" s="62"/>
    </row>
    <row r="3" spans="1:14" ht="15.75" x14ac:dyDescent="0.25">
      <c r="A3" s="65"/>
      <c r="B3" s="66" t="s">
        <v>321</v>
      </c>
      <c r="C3" s="66"/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</row>
    <row r="4" spans="1:14" ht="15.75" x14ac:dyDescent="0.25">
      <c r="A4" s="65"/>
      <c r="B4" s="18" t="s">
        <v>227</v>
      </c>
      <c r="C4" s="18"/>
      <c r="D4" s="18"/>
      <c r="E4" s="18"/>
      <c r="F4" s="67"/>
      <c r="G4" s="67"/>
      <c r="H4" s="67"/>
      <c r="I4" s="67"/>
      <c r="J4" s="67"/>
      <c r="K4" s="67"/>
      <c r="L4" s="67"/>
      <c r="M4" s="67"/>
      <c r="N4" s="67"/>
    </row>
    <row r="5" spans="1:14" ht="15.75" x14ac:dyDescent="0.25">
      <c r="A5" s="68"/>
      <c r="B5" s="18" t="s">
        <v>322</v>
      </c>
      <c r="C5" s="18"/>
      <c r="D5" s="18"/>
      <c r="E5" s="18"/>
      <c r="F5" s="67"/>
      <c r="G5" s="67"/>
      <c r="H5" s="67"/>
      <c r="I5" s="67"/>
      <c r="J5" s="67"/>
      <c r="K5" s="67"/>
      <c r="L5" s="67"/>
      <c r="M5" s="67"/>
      <c r="N5" s="67"/>
    </row>
    <row r="6" spans="1:14" ht="15.75" x14ac:dyDescent="0.25">
      <c r="A6" s="68"/>
      <c r="B6" s="20"/>
      <c r="C6" s="20"/>
      <c r="D6" s="20"/>
      <c r="E6" s="20"/>
      <c r="F6" s="69"/>
      <c r="G6" s="69"/>
      <c r="H6" s="69"/>
      <c r="I6" s="69"/>
      <c r="J6" s="135" t="s">
        <v>13</v>
      </c>
      <c r="K6" s="68"/>
      <c r="L6" s="136"/>
      <c r="M6" s="135" t="s">
        <v>13</v>
      </c>
      <c r="N6" s="136"/>
    </row>
    <row r="7" spans="1:14" ht="15.75" x14ac:dyDescent="0.25">
      <c r="D7" s="70" t="s">
        <v>84</v>
      </c>
      <c r="E7" s="70"/>
      <c r="F7" s="60" t="s">
        <v>12</v>
      </c>
      <c r="G7" s="60"/>
      <c r="H7" s="70" t="s">
        <v>14</v>
      </c>
      <c r="I7" s="70"/>
      <c r="J7" s="135" t="s">
        <v>0</v>
      </c>
      <c r="L7" s="136"/>
      <c r="M7" s="135" t="s">
        <v>0</v>
      </c>
      <c r="N7" s="136"/>
    </row>
    <row r="8" spans="1:14" ht="15.75" x14ac:dyDescent="0.25">
      <c r="B8" s="60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60" t="s">
        <v>1</v>
      </c>
      <c r="I8" s="60" t="s">
        <v>4</v>
      </c>
      <c r="J8" s="135" t="s">
        <v>1</v>
      </c>
      <c r="K8" s="60" t="s">
        <v>15</v>
      </c>
      <c r="L8" s="135" t="s">
        <v>16</v>
      </c>
      <c r="M8" s="135" t="s">
        <v>16</v>
      </c>
      <c r="N8" s="135" t="s">
        <v>1</v>
      </c>
    </row>
    <row r="9" spans="1:14" ht="15.75" x14ac:dyDescent="0.25">
      <c r="A9" s="60" t="s">
        <v>86</v>
      </c>
      <c r="B9" s="71" t="s">
        <v>5</v>
      </c>
      <c r="C9" s="72" t="s">
        <v>7</v>
      </c>
      <c r="D9" s="71" t="s">
        <v>5</v>
      </c>
      <c r="E9" s="71" t="s">
        <v>5</v>
      </c>
      <c r="F9" s="71" t="s">
        <v>5</v>
      </c>
      <c r="G9" s="72" t="s">
        <v>7</v>
      </c>
      <c r="H9" s="71" t="s">
        <v>5</v>
      </c>
      <c r="I9" s="72" t="s">
        <v>7</v>
      </c>
      <c r="J9" s="137" t="s">
        <v>6</v>
      </c>
      <c r="K9" s="72" t="s">
        <v>17</v>
      </c>
      <c r="L9" s="137" t="s">
        <v>17</v>
      </c>
      <c r="M9" s="137" t="s">
        <v>17</v>
      </c>
      <c r="N9" s="137" t="s">
        <v>18</v>
      </c>
    </row>
    <row r="11" spans="1:14" ht="15.75" x14ac:dyDescent="0.25">
      <c r="A11" s="479" t="s">
        <v>398</v>
      </c>
    </row>
  </sheetData>
  <phoneticPr fontId="19" type="noConversion"/>
  <printOptions horizontalCentered="1" headings="1" gridLines="1"/>
  <pageMargins left="0.25" right="0.25" top="0.5" bottom="0.25" header="0.5" footer="0.5"/>
  <pageSetup scale="5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1"/>
  <sheetViews>
    <sheetView zoomScaleNormal="100" workbookViewId="0">
      <selection activeCell="A11" sqref="A11"/>
    </sheetView>
  </sheetViews>
  <sheetFormatPr defaultColWidth="8.85546875" defaultRowHeight="15" x14ac:dyDescent="0.2"/>
  <cols>
    <col min="1" max="1" width="56.85546875" style="63" customWidth="1"/>
    <col min="2" max="2" width="18.85546875" style="63" bestFit="1" customWidth="1"/>
    <col min="3" max="3" width="9.28515625" style="63" bestFit="1" customWidth="1"/>
    <col min="4" max="4" width="20.140625" style="63" bestFit="1" customWidth="1"/>
    <col min="5" max="5" width="17" style="63" customWidth="1"/>
    <col min="6" max="6" width="17.7109375" style="63" bestFit="1" customWidth="1"/>
    <col min="7" max="7" width="9.28515625" style="63" bestFit="1" customWidth="1"/>
    <col min="8" max="8" width="18.5703125" style="63" bestFit="1" customWidth="1"/>
    <col min="9" max="9" width="9.28515625" style="63" bestFit="1" customWidth="1"/>
    <col min="10" max="10" width="17.28515625" style="63" bestFit="1" customWidth="1"/>
    <col min="11" max="11" width="12.28515625" style="63" customWidth="1"/>
    <col min="12" max="12" width="14" style="63" customWidth="1"/>
    <col min="13" max="13" width="17.42578125" style="63" bestFit="1" customWidth="1"/>
    <col min="14" max="14" width="11.42578125" style="63" bestFit="1" customWidth="1"/>
    <col min="15" max="16384" width="8.85546875" style="63"/>
  </cols>
  <sheetData>
    <row r="1" spans="1:14" ht="15.75" x14ac:dyDescent="0.25">
      <c r="A1" s="60" t="str">
        <f>+Financial_Results!A1</f>
        <v>2013 ACD</v>
      </c>
      <c r="B1" s="73"/>
      <c r="C1" s="73"/>
      <c r="D1" s="73"/>
      <c r="E1" s="73"/>
      <c r="F1" s="62"/>
      <c r="G1" s="62"/>
      <c r="H1" s="62"/>
      <c r="I1" s="62"/>
      <c r="J1" s="62"/>
    </row>
    <row r="2" spans="1:14" ht="15.75" x14ac:dyDescent="0.25">
      <c r="A2" s="64">
        <f ca="1">NOW()</f>
        <v>41706.557639120372</v>
      </c>
      <c r="B2" s="73"/>
      <c r="C2" s="73"/>
      <c r="D2" s="73"/>
      <c r="E2" s="73"/>
      <c r="F2" s="62"/>
      <c r="G2" s="62"/>
      <c r="H2" s="62"/>
      <c r="I2" s="62"/>
      <c r="J2" s="62"/>
    </row>
    <row r="3" spans="1:14" ht="15.75" x14ac:dyDescent="0.25">
      <c r="A3" s="65"/>
      <c r="B3" s="66" t="s">
        <v>321</v>
      </c>
      <c r="C3" s="66"/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</row>
    <row r="4" spans="1:14" ht="15.75" x14ac:dyDescent="0.25">
      <c r="A4" s="65"/>
      <c r="B4" s="18" t="s">
        <v>227</v>
      </c>
      <c r="C4" s="18"/>
      <c r="D4" s="18"/>
      <c r="E4" s="18"/>
      <c r="F4" s="67"/>
      <c r="G4" s="67"/>
      <c r="H4" s="67"/>
      <c r="I4" s="67"/>
      <c r="J4" s="67"/>
      <c r="K4" s="67"/>
      <c r="L4" s="67"/>
      <c r="M4" s="67"/>
      <c r="N4" s="67"/>
    </row>
    <row r="5" spans="1:14" ht="15.75" x14ac:dyDescent="0.25">
      <c r="A5" s="68"/>
      <c r="B5" s="18" t="s">
        <v>322</v>
      </c>
      <c r="C5" s="18"/>
      <c r="D5" s="18"/>
      <c r="E5" s="18"/>
      <c r="F5" s="67"/>
      <c r="G5" s="67"/>
      <c r="H5" s="67"/>
      <c r="I5" s="67"/>
      <c r="J5" s="67"/>
      <c r="K5" s="67"/>
      <c r="L5" s="67"/>
      <c r="M5" s="67"/>
      <c r="N5" s="67"/>
    </row>
    <row r="6" spans="1:14" ht="15.75" x14ac:dyDescent="0.25">
      <c r="A6" s="68"/>
      <c r="B6" s="20"/>
      <c r="C6" s="20"/>
      <c r="D6" s="20"/>
      <c r="E6" s="20"/>
      <c r="F6" s="69"/>
      <c r="G6" s="69"/>
      <c r="H6" s="69"/>
      <c r="I6" s="69"/>
      <c r="J6" s="135" t="s">
        <v>13</v>
      </c>
      <c r="K6" s="68"/>
      <c r="L6" s="136"/>
      <c r="M6" s="135" t="s">
        <v>13</v>
      </c>
      <c r="N6" s="136"/>
    </row>
    <row r="7" spans="1:14" ht="15.75" x14ac:dyDescent="0.25">
      <c r="D7" s="70" t="s">
        <v>84</v>
      </c>
      <c r="E7" s="70"/>
      <c r="F7" s="60" t="s">
        <v>12</v>
      </c>
      <c r="G7" s="60"/>
      <c r="H7" s="70" t="s">
        <v>14</v>
      </c>
      <c r="I7" s="70"/>
      <c r="J7" s="135" t="s">
        <v>0</v>
      </c>
      <c r="L7" s="136"/>
      <c r="M7" s="135" t="s">
        <v>0</v>
      </c>
      <c r="N7" s="136"/>
    </row>
    <row r="8" spans="1:14" ht="15.75" x14ac:dyDescent="0.25">
      <c r="B8" s="60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60" t="s">
        <v>1</v>
      </c>
      <c r="I8" s="60" t="s">
        <v>4</v>
      </c>
      <c r="J8" s="135" t="s">
        <v>1</v>
      </c>
      <c r="K8" s="60" t="s">
        <v>15</v>
      </c>
      <c r="L8" s="135" t="s">
        <v>16</v>
      </c>
      <c r="M8" s="135" t="s">
        <v>16</v>
      </c>
      <c r="N8" s="135" t="s">
        <v>1</v>
      </c>
    </row>
    <row r="9" spans="1:14" ht="15.75" x14ac:dyDescent="0.25">
      <c r="A9" s="60" t="s">
        <v>86</v>
      </c>
      <c r="B9" s="71" t="s">
        <v>5</v>
      </c>
      <c r="C9" s="72" t="s">
        <v>7</v>
      </c>
      <c r="D9" s="71" t="s">
        <v>5</v>
      </c>
      <c r="E9" s="71" t="s">
        <v>5</v>
      </c>
      <c r="F9" s="71" t="s">
        <v>5</v>
      </c>
      <c r="G9" s="72" t="s">
        <v>7</v>
      </c>
      <c r="H9" s="71" t="s">
        <v>5</v>
      </c>
      <c r="I9" s="72" t="s">
        <v>7</v>
      </c>
      <c r="J9" s="137" t="s">
        <v>6</v>
      </c>
      <c r="K9" s="72" t="s">
        <v>17</v>
      </c>
      <c r="L9" s="137" t="s">
        <v>17</v>
      </c>
      <c r="M9" s="137" t="s">
        <v>17</v>
      </c>
      <c r="N9" s="137" t="s">
        <v>18</v>
      </c>
    </row>
    <row r="11" spans="1:14" ht="15.75" x14ac:dyDescent="0.25">
      <c r="A11" s="479" t="s">
        <v>398</v>
      </c>
    </row>
  </sheetData>
  <printOptions horizontalCentered="1" headings="1" gridLines="1"/>
  <pageMargins left="0.25" right="0.25" top="0.5" bottom="0.25" header="0.5" footer="0.5"/>
  <pageSetup scale="5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1"/>
  <sheetViews>
    <sheetView workbookViewId="0">
      <selection activeCell="A11" sqref="A11"/>
    </sheetView>
  </sheetViews>
  <sheetFormatPr defaultRowHeight="12.75" x14ac:dyDescent="0.2"/>
  <cols>
    <col min="1" max="1" width="44" bestFit="1" customWidth="1"/>
    <col min="2" max="2" width="14.85546875" bestFit="1" customWidth="1"/>
    <col min="3" max="3" width="9.42578125" bestFit="1" customWidth="1"/>
    <col min="4" max="4" width="16.7109375" bestFit="1" customWidth="1"/>
    <col min="6" max="6" width="16.7109375" bestFit="1" customWidth="1"/>
    <col min="7" max="7" width="9.42578125" bestFit="1" customWidth="1"/>
    <col min="8" max="8" width="16.7109375" bestFit="1" customWidth="1"/>
    <col min="9" max="9" width="9.42578125" bestFit="1" customWidth="1"/>
    <col min="10" max="10" width="18" bestFit="1" customWidth="1"/>
    <col min="11" max="12" width="12.140625" bestFit="1" customWidth="1"/>
    <col min="13" max="13" width="18" bestFit="1" customWidth="1"/>
    <col min="14" max="14" width="9.28515625" bestFit="1" customWidth="1"/>
  </cols>
  <sheetData>
    <row r="1" spans="1:14" ht="15.75" x14ac:dyDescent="0.25">
      <c r="A1" s="60" t="str">
        <f>+Financial_Results!A1</f>
        <v>2013 ACD</v>
      </c>
      <c r="B1" s="73"/>
      <c r="C1" s="73"/>
      <c r="D1" s="73"/>
      <c r="E1" s="73"/>
      <c r="F1" s="62"/>
      <c r="G1" s="62"/>
      <c r="H1" s="62"/>
      <c r="I1" s="62"/>
      <c r="J1" s="62"/>
      <c r="K1" s="63"/>
      <c r="L1" s="63"/>
      <c r="M1" s="63"/>
      <c r="N1" s="63"/>
    </row>
    <row r="2" spans="1:14" ht="15.75" x14ac:dyDescent="0.25">
      <c r="A2" s="64">
        <f ca="1">NOW()</f>
        <v>41706.557639120372</v>
      </c>
      <c r="B2" s="73"/>
      <c r="C2" s="73"/>
      <c r="D2" s="73"/>
      <c r="E2" s="73"/>
      <c r="F2" s="62"/>
      <c r="G2" s="62"/>
      <c r="H2" s="62"/>
      <c r="I2" s="62"/>
      <c r="J2" s="62"/>
      <c r="K2" s="63"/>
      <c r="L2" s="63"/>
      <c r="M2" s="63"/>
      <c r="N2" s="63"/>
    </row>
    <row r="3" spans="1:14" ht="15.75" x14ac:dyDescent="0.25">
      <c r="A3" s="65"/>
      <c r="B3" s="66" t="s">
        <v>321</v>
      </c>
      <c r="C3" s="66"/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</row>
    <row r="4" spans="1:14" ht="15.75" x14ac:dyDescent="0.25">
      <c r="A4" s="65"/>
      <c r="B4" s="18" t="s">
        <v>323</v>
      </c>
      <c r="C4" s="18"/>
      <c r="D4" s="18"/>
      <c r="E4" s="18"/>
      <c r="F4" s="67"/>
      <c r="G4" s="67"/>
      <c r="H4" s="67"/>
      <c r="I4" s="67"/>
      <c r="J4" s="67"/>
      <c r="K4" s="67"/>
      <c r="L4" s="67"/>
      <c r="M4" s="67"/>
      <c r="N4" s="67"/>
    </row>
    <row r="5" spans="1:14" ht="15.75" x14ac:dyDescent="0.25">
      <c r="A5" s="68"/>
      <c r="B5" s="18" t="s">
        <v>322</v>
      </c>
      <c r="C5" s="18"/>
      <c r="D5" s="18"/>
      <c r="E5" s="18"/>
      <c r="F5" s="67"/>
      <c r="G5" s="67"/>
      <c r="H5" s="67"/>
      <c r="I5" s="67"/>
      <c r="J5" s="67"/>
      <c r="K5" s="67"/>
      <c r="L5" s="67"/>
      <c r="M5" s="67"/>
      <c r="N5" s="67"/>
    </row>
    <row r="6" spans="1:14" ht="15.75" x14ac:dyDescent="0.25">
      <c r="A6" s="68"/>
      <c r="B6" s="20"/>
      <c r="C6" s="20"/>
      <c r="D6" s="20"/>
      <c r="E6" s="20"/>
      <c r="F6" s="69"/>
      <c r="G6" s="69"/>
      <c r="H6" s="69"/>
      <c r="I6" s="69"/>
      <c r="J6" s="135" t="s">
        <v>13</v>
      </c>
      <c r="K6" s="68"/>
      <c r="L6" s="136"/>
      <c r="M6" s="135" t="s">
        <v>13</v>
      </c>
      <c r="N6" s="136"/>
    </row>
    <row r="7" spans="1:14" ht="15.75" x14ac:dyDescent="0.25">
      <c r="A7" s="63"/>
      <c r="B7" s="63"/>
      <c r="C7" s="63"/>
      <c r="D7" s="70" t="s">
        <v>84</v>
      </c>
      <c r="E7" s="70"/>
      <c r="F7" s="60" t="s">
        <v>12</v>
      </c>
      <c r="G7" s="60"/>
      <c r="H7" s="70" t="s">
        <v>14</v>
      </c>
      <c r="I7" s="70"/>
      <c r="J7" s="135" t="s">
        <v>0</v>
      </c>
      <c r="K7" s="63"/>
      <c r="L7" s="136"/>
      <c r="M7" s="135" t="s">
        <v>0</v>
      </c>
      <c r="N7" s="136"/>
    </row>
    <row r="8" spans="1:14" ht="15.75" x14ac:dyDescent="0.25">
      <c r="A8" s="63"/>
      <c r="B8" s="60" t="s">
        <v>2</v>
      </c>
      <c r="C8" s="60" t="s">
        <v>4</v>
      </c>
      <c r="D8" s="60" t="s">
        <v>3</v>
      </c>
      <c r="E8" s="60" t="s">
        <v>85</v>
      </c>
      <c r="F8" s="60" t="s">
        <v>3</v>
      </c>
      <c r="G8" s="60" t="s">
        <v>4</v>
      </c>
      <c r="H8" s="60" t="s">
        <v>1</v>
      </c>
      <c r="I8" s="60" t="s">
        <v>4</v>
      </c>
      <c r="J8" s="135" t="s">
        <v>1</v>
      </c>
      <c r="K8" s="60" t="s">
        <v>15</v>
      </c>
      <c r="L8" s="135" t="s">
        <v>16</v>
      </c>
      <c r="M8" s="135" t="s">
        <v>16</v>
      </c>
      <c r="N8" s="135" t="s">
        <v>1</v>
      </c>
    </row>
    <row r="9" spans="1:14" ht="15.75" x14ac:dyDescent="0.25">
      <c r="A9" s="60" t="s">
        <v>86</v>
      </c>
      <c r="B9" s="71" t="s">
        <v>5</v>
      </c>
      <c r="C9" s="72" t="s">
        <v>7</v>
      </c>
      <c r="D9" s="71" t="s">
        <v>5</v>
      </c>
      <c r="E9" s="71" t="s">
        <v>5</v>
      </c>
      <c r="F9" s="71" t="s">
        <v>5</v>
      </c>
      <c r="G9" s="72" t="s">
        <v>7</v>
      </c>
      <c r="H9" s="71" t="s">
        <v>5</v>
      </c>
      <c r="I9" s="72" t="s">
        <v>7</v>
      </c>
      <c r="J9" s="137" t="s">
        <v>6</v>
      </c>
      <c r="K9" s="72" t="s">
        <v>17</v>
      </c>
      <c r="L9" s="137" t="s">
        <v>17</v>
      </c>
      <c r="M9" s="137" t="s">
        <v>17</v>
      </c>
      <c r="N9" s="137" t="s">
        <v>18</v>
      </c>
    </row>
    <row r="10" spans="1:14" x14ac:dyDescent="0.2">
      <c r="B10" s="254"/>
      <c r="D10" s="254"/>
      <c r="F10" s="254"/>
      <c r="H10" s="254"/>
    </row>
    <row r="11" spans="1:14" ht="15.75" x14ac:dyDescent="0.25">
      <c r="A11" s="479" t="s">
        <v>398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Financial_Results</vt:lpstr>
      <vt:lpstr>Neg Contribution</vt:lpstr>
      <vt:lpstr>Appendix </vt:lpstr>
      <vt:lpstr>COMP Services</vt:lpstr>
      <vt:lpstr>Prority Mail Express</vt:lpstr>
      <vt:lpstr>Priority Mail </vt:lpstr>
      <vt:lpstr>Parcel Select_Return</vt:lpstr>
      <vt:lpstr>First-Class Package Service</vt:lpstr>
      <vt:lpstr>Standard Post Mail (NEW)</vt:lpstr>
      <vt:lpstr>Intern_InternNSA</vt:lpstr>
      <vt:lpstr>FCM</vt:lpstr>
      <vt:lpstr>Standard</vt:lpstr>
      <vt:lpstr>Periodicals</vt:lpstr>
      <vt:lpstr>Package Services</vt:lpstr>
      <vt:lpstr>USPS &amp; Free</vt:lpstr>
      <vt:lpstr>MD Services</vt:lpstr>
      <vt:lpstr>Fees</vt:lpstr>
      <vt:lpstr>'Appendix '!Print_Area</vt:lpstr>
      <vt:lpstr>Financial_Results!Print_Area</vt:lpstr>
      <vt:lpstr>Standard!Print_Area</vt:lpstr>
      <vt:lpstr>Standard!Print_Titles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LAWRENCE, CLAUDE B</dc:creator>
  <cp:lastModifiedBy>LAWRENCE, CLAUDE B</cp:lastModifiedBy>
  <cp:lastPrinted>2014-03-04T20:26:10Z</cp:lastPrinted>
  <dcterms:created xsi:type="dcterms:W3CDTF">1996-10-14T23:33:28Z</dcterms:created>
  <dcterms:modified xsi:type="dcterms:W3CDTF">2014-03-08T18:23:38Z</dcterms:modified>
</cp:coreProperties>
</file>